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radam\Desktop\cost_avoidance_calc\production\institutional_edition\pure\"/>
    </mc:Choice>
  </mc:AlternateContent>
  <workbookProtection workbookAlgorithmName="SHA-512" workbookHashValue="eoT4HVessaEcA5sPWcFEp2YY9uknIIKVQcyglwHmUCRszSP78ic+d638ha7PfqDXUECJ4lon7EUY/SwVoELPmA==" workbookSaltValue="RXDfwviJp7rjkMfXslUa6w==" workbookSpinCount="100000" lockStructure="1"/>
  <bookViews>
    <workbookView xWindow="0" yWindow="0" windowWidth="23040" windowHeight="9060"/>
  </bookViews>
  <sheets>
    <sheet name="ReadMe" sheetId="1" r:id="rId1"/>
    <sheet name="Methodology" sheetId="2" r:id="rId2"/>
    <sheet name="Settings" sheetId="3" r:id="rId3"/>
    <sheet name="Group Projections" sheetId="4" r:id="rId4"/>
    <sheet name="Institutional Projections" sheetId="5" r:id="rId5"/>
    <sheet name="data2" sheetId="9" state="hidden" r:id="rId6"/>
  </sheets>
  <definedNames>
    <definedName name="_xlnm.Print_Area" localSheetId="3">'Group Projections'!$A$1:$B$63</definedName>
    <definedName name="_xlnm.Print_Area" localSheetId="4">'Institutional Projections'!$A$1:$B$59</definedName>
  </definedNames>
  <calcPr calcId="162913"/>
</workbook>
</file>

<file path=xl/calcChain.xml><?xml version="1.0" encoding="utf-8"?>
<calcChain xmlns="http://schemas.openxmlformats.org/spreadsheetml/2006/main">
  <c r="J6" i="9" l="1"/>
  <c r="J7" i="9"/>
  <c r="J5" i="9"/>
  <c r="C22" i="3" l="1"/>
  <c r="G112" i="4" l="1"/>
  <c r="G111" i="4"/>
  <c r="G110" i="4"/>
  <c r="D82" i="4"/>
  <c r="B72" i="4"/>
  <c r="B71" i="4"/>
  <c r="B41" i="3" l="1"/>
  <c r="G111" i="5" l="1"/>
  <c r="G110" i="5" l="1"/>
  <c r="G109" i="5"/>
  <c r="A151" i="5"/>
  <c r="A152" i="5"/>
  <c r="A150" i="5"/>
  <c r="B137" i="5"/>
  <c r="C137" i="5"/>
  <c r="D137" i="5"/>
  <c r="E137" i="5"/>
  <c r="B138" i="5"/>
  <c r="C138" i="5"/>
  <c r="D138" i="5"/>
  <c r="E138" i="5"/>
  <c r="B139" i="5"/>
  <c r="C139" i="5"/>
  <c r="D139" i="5"/>
  <c r="E139" i="5"/>
  <c r="A138" i="5"/>
  <c r="A139" i="5"/>
  <c r="A137" i="5"/>
  <c r="B65" i="5"/>
  <c r="B67" i="4"/>
  <c r="B66" i="4"/>
  <c r="B64" i="5"/>
  <c r="A124" i="5" l="1"/>
  <c r="A121" i="5"/>
  <c r="A125" i="4"/>
  <c r="A122" i="4"/>
  <c r="E145" i="5"/>
  <c r="D145" i="5"/>
  <c r="C145" i="5"/>
  <c r="B145" i="5"/>
  <c r="A145" i="5"/>
  <c r="B125" i="5"/>
  <c r="B122" i="5"/>
  <c r="F118" i="5"/>
  <c r="E118" i="5"/>
  <c r="D118" i="5"/>
  <c r="C118" i="5"/>
  <c r="B118" i="5"/>
  <c r="F117" i="5"/>
  <c r="E117" i="5"/>
  <c r="D117" i="5"/>
  <c r="C117" i="5"/>
  <c r="B117" i="5"/>
  <c r="L116" i="5"/>
  <c r="K116" i="5"/>
  <c r="J116" i="5"/>
  <c r="I116" i="5"/>
  <c r="H116" i="5"/>
  <c r="G116" i="5"/>
  <c r="F116" i="5"/>
  <c r="E116" i="5"/>
  <c r="D116" i="5"/>
  <c r="C116" i="5"/>
  <c r="B116" i="5"/>
  <c r="B69" i="5"/>
  <c r="F97" i="5"/>
  <c r="F96" i="5"/>
  <c r="G81" i="5"/>
  <c r="F81" i="5"/>
  <c r="E81" i="5"/>
  <c r="D81" i="5"/>
  <c r="C81" i="5"/>
  <c r="B81" i="5"/>
  <c r="J74" i="5"/>
  <c r="A5" i="5"/>
  <c r="B126" i="4"/>
  <c r="B123" i="4"/>
  <c r="F119" i="4"/>
  <c r="E119" i="4"/>
  <c r="D119" i="4"/>
  <c r="C119" i="4"/>
  <c r="B119" i="4"/>
  <c r="F118" i="4"/>
  <c r="E118" i="4"/>
  <c r="D118" i="4"/>
  <c r="C118" i="4"/>
  <c r="B118" i="4"/>
  <c r="L117" i="4"/>
  <c r="K117" i="4"/>
  <c r="J117" i="4"/>
  <c r="I117" i="4"/>
  <c r="H117" i="4"/>
  <c r="G117" i="4"/>
  <c r="F117" i="4"/>
  <c r="E117" i="4"/>
  <c r="D117" i="4"/>
  <c r="C117" i="4"/>
  <c r="B117" i="4"/>
  <c r="F98" i="4"/>
  <c r="F97" i="4"/>
  <c r="G82" i="4"/>
  <c r="J75" i="4"/>
  <c r="K75" i="4" s="1"/>
  <c r="A5" i="4"/>
  <c r="B13" i="3"/>
  <c r="B12" i="3"/>
  <c r="B15" i="3" s="1"/>
  <c r="H58" i="3"/>
  <c r="H57" i="3"/>
  <c r="H56" i="3"/>
  <c r="H39" i="3"/>
  <c r="B4" i="3"/>
  <c r="H109" i="2"/>
  <c r="J109" i="2" s="1"/>
  <c r="K109" i="2" s="1"/>
  <c r="H108" i="2"/>
  <c r="H107" i="2"/>
  <c r="G106" i="2"/>
  <c r="F106" i="2"/>
  <c r="F99" i="2" s="1"/>
  <c r="E106" i="2"/>
  <c r="D106" i="2"/>
  <c r="C106" i="2"/>
  <c r="I102" i="2"/>
  <c r="G49" i="3" s="1"/>
  <c r="I5" i="9" s="1"/>
  <c r="H102" i="2"/>
  <c r="G102" i="2"/>
  <c r="F102" i="2"/>
  <c r="E102" i="2"/>
  <c r="D102" i="2"/>
  <c r="H101" i="2"/>
  <c r="G101" i="2"/>
  <c r="F101" i="2"/>
  <c r="E101" i="2"/>
  <c r="D101" i="2"/>
  <c r="I100" i="2"/>
  <c r="H100" i="2"/>
  <c r="G100" i="2"/>
  <c r="F100" i="2"/>
  <c r="E100" i="2"/>
  <c r="D100" i="2"/>
  <c r="C88" i="2"/>
  <c r="C87" i="2"/>
  <c r="C86" i="2"/>
  <c r="F51" i="2"/>
  <c r="G51" i="2" s="1"/>
  <c r="D51" i="2"/>
  <c r="C51" i="2" s="1"/>
  <c r="G43" i="2"/>
  <c r="F43" i="2"/>
  <c r="E43" i="2"/>
  <c r="D43" i="2"/>
  <c r="C43" i="2"/>
  <c r="G42" i="2"/>
  <c r="F42" i="2"/>
  <c r="E42" i="2"/>
  <c r="D42" i="2"/>
  <c r="C42" i="2"/>
  <c r="H38" i="2"/>
  <c r="I38" i="2" s="1"/>
  <c r="H37" i="2"/>
  <c r="I37" i="2" s="1"/>
  <c r="G25" i="2"/>
  <c r="F106" i="4" s="1"/>
  <c r="F25" i="2"/>
  <c r="E106" i="4" s="1"/>
  <c r="E25" i="2"/>
  <c r="D106" i="4" s="1"/>
  <c r="D25" i="2"/>
  <c r="C25" i="2"/>
  <c r="B106" i="4" s="1"/>
  <c r="G24" i="2"/>
  <c r="F24" i="2"/>
  <c r="E24" i="2"/>
  <c r="D24" i="2"/>
  <c r="C24" i="2"/>
  <c r="H20" i="2"/>
  <c r="H19" i="2"/>
  <c r="G78" i="4" s="1"/>
  <c r="E125" i="4" s="1"/>
  <c r="H18" i="2"/>
  <c r="I18" i="2" s="1"/>
  <c r="G17" i="2"/>
  <c r="F17" i="2"/>
  <c r="E17" i="2"/>
  <c r="D17" i="2"/>
  <c r="C17" i="2"/>
  <c r="B4" i="2"/>
  <c r="L5" i="9" l="1"/>
  <c r="M5" i="9"/>
  <c r="F69" i="5" s="1"/>
  <c r="H25" i="2"/>
  <c r="I25" i="2" s="1"/>
  <c r="J25" i="2" s="1"/>
  <c r="K25" i="2" s="1"/>
  <c r="E99" i="2"/>
  <c r="H17" i="2"/>
  <c r="H24" i="2"/>
  <c r="G99" i="2"/>
  <c r="H106" i="2"/>
  <c r="C106" i="4"/>
  <c r="H43" i="2"/>
  <c r="E61" i="2"/>
  <c r="I20" i="2"/>
  <c r="I19" i="2" s="1"/>
  <c r="F61" i="2"/>
  <c r="H42" i="2"/>
  <c r="L25" i="2"/>
  <c r="C61" i="2"/>
  <c r="F139" i="5"/>
  <c r="F138" i="5"/>
  <c r="F137" i="5"/>
  <c r="K74" i="5"/>
  <c r="B86" i="5"/>
  <c r="F86" i="5"/>
  <c r="B70" i="5"/>
  <c r="E86" i="5"/>
  <c r="C86" i="5"/>
  <c r="D86" i="5"/>
  <c r="A124" i="4"/>
  <c r="A154" i="5"/>
  <c r="A123" i="4"/>
  <c r="A123" i="5"/>
  <c r="G75" i="5"/>
  <c r="A126" i="4"/>
  <c r="A122" i="5"/>
  <c r="F145" i="5"/>
  <c r="A125" i="5"/>
  <c r="G100" i="5"/>
  <c r="G113" i="5"/>
  <c r="I17" i="2"/>
  <c r="I51" i="2"/>
  <c r="G61" i="2"/>
  <c r="L109" i="2"/>
  <c r="K102" i="2"/>
  <c r="G118" i="5"/>
  <c r="G119" i="4"/>
  <c r="J38" i="2"/>
  <c r="I24" i="2"/>
  <c r="G50" i="3" s="1"/>
  <c r="I6" i="9" s="1"/>
  <c r="J18" i="2"/>
  <c r="J37" i="2"/>
  <c r="G118" i="4"/>
  <c r="C115" i="2"/>
  <c r="C85" i="2"/>
  <c r="C89" i="2" s="1"/>
  <c r="I42" i="2"/>
  <c r="G117" i="5"/>
  <c r="F49" i="3"/>
  <c r="G77" i="4"/>
  <c r="E123" i="4"/>
  <c r="E126" i="4"/>
  <c r="D61" i="2"/>
  <c r="H61" i="2" s="1"/>
  <c r="D99" i="2"/>
  <c r="H99" i="2"/>
  <c r="G102" i="5"/>
  <c r="G76" i="4"/>
  <c r="E122" i="4"/>
  <c r="I43" i="2"/>
  <c r="J102" i="2"/>
  <c r="B71" i="5"/>
  <c r="M6" i="9" l="1"/>
  <c r="F70" i="5" s="1"/>
  <c r="L6" i="9"/>
  <c r="G114" i="5"/>
  <c r="J20" i="2"/>
  <c r="K20" i="2" s="1"/>
  <c r="M25" i="2"/>
  <c r="A141" i="5"/>
  <c r="B61" i="5" s="1"/>
  <c r="A62" i="5" s="1"/>
  <c r="B68" i="5"/>
  <c r="A147" i="5"/>
  <c r="F87" i="5"/>
  <c r="G51" i="3"/>
  <c r="I7" i="9" s="1"/>
  <c r="L20" i="2"/>
  <c r="D126" i="4"/>
  <c r="D125" i="4"/>
  <c r="D123" i="4"/>
  <c r="D122" i="4"/>
  <c r="H117" i="5"/>
  <c r="K37" i="2"/>
  <c r="H118" i="4"/>
  <c r="J42" i="2"/>
  <c r="E49" i="3"/>
  <c r="F50" i="3"/>
  <c r="K18" i="2"/>
  <c r="K19" i="2" s="1"/>
  <c r="J24" i="2"/>
  <c r="G106" i="4"/>
  <c r="I61" i="2"/>
  <c r="J51" i="2"/>
  <c r="G104" i="5"/>
  <c r="K38" i="2"/>
  <c r="H119" i="4"/>
  <c r="H118" i="5"/>
  <c r="M109" i="2"/>
  <c r="L102" i="2"/>
  <c r="G92" i="5"/>
  <c r="L7" i="9" l="1"/>
  <c r="M7" i="9"/>
  <c r="F71" i="5" s="1"/>
  <c r="F77" i="5" s="1"/>
  <c r="J19" i="2"/>
  <c r="J17" i="2" s="1"/>
  <c r="N25" i="2"/>
  <c r="B62" i="5"/>
  <c r="E76" i="5"/>
  <c r="F76" i="5"/>
  <c r="F102" i="5" s="1"/>
  <c r="D75" i="5"/>
  <c r="E75" i="5"/>
  <c r="F75" i="5"/>
  <c r="F100" i="5" s="1"/>
  <c r="H100" i="5" s="1"/>
  <c r="G87" i="5"/>
  <c r="B156" i="5"/>
  <c r="B5" i="5" s="1"/>
  <c r="G96" i="5"/>
  <c r="F51" i="3"/>
  <c r="I118" i="5"/>
  <c r="L38" i="2"/>
  <c r="I119" i="4"/>
  <c r="K24" i="2"/>
  <c r="L18" i="2"/>
  <c r="L19" i="2" s="1"/>
  <c r="E50" i="3"/>
  <c r="D76" i="5" s="1"/>
  <c r="D49" i="3"/>
  <c r="H49" i="3" s="1"/>
  <c r="K43" i="2"/>
  <c r="M20" i="2"/>
  <c r="N109" i="2"/>
  <c r="M102" i="2"/>
  <c r="H106" i="4"/>
  <c r="K51" i="2"/>
  <c r="H104" i="5"/>
  <c r="J107" i="2"/>
  <c r="I118" i="4"/>
  <c r="K42" i="2"/>
  <c r="L37" i="2"/>
  <c r="I117" i="5"/>
  <c r="K17" i="2"/>
  <c r="E77" i="5" l="1"/>
  <c r="J43" i="2"/>
  <c r="J61" i="2" s="1"/>
  <c r="L17" i="2"/>
  <c r="H102" i="5"/>
  <c r="B157" i="5"/>
  <c r="C75" i="5"/>
  <c r="E100" i="5"/>
  <c r="H87" i="5"/>
  <c r="F104" i="5"/>
  <c r="E102" i="5"/>
  <c r="F103" i="5"/>
  <c r="F82" i="5" s="1"/>
  <c r="F78" i="5"/>
  <c r="I106" i="4"/>
  <c r="D100" i="5"/>
  <c r="L24" i="2"/>
  <c r="M18" i="2"/>
  <c r="M19" i="2" s="1"/>
  <c r="N20" i="2"/>
  <c r="L43" i="2"/>
  <c r="C49" i="3"/>
  <c r="B75" i="5" s="1"/>
  <c r="D50" i="3"/>
  <c r="I104" i="5"/>
  <c r="K107" i="2"/>
  <c r="J117" i="5"/>
  <c r="J118" i="4"/>
  <c r="L42" i="2"/>
  <c r="M37" i="2"/>
  <c r="K61" i="2"/>
  <c r="L51" i="2"/>
  <c r="E51" i="3"/>
  <c r="D77" i="5" s="1"/>
  <c r="J119" i="4"/>
  <c r="J118" i="5"/>
  <c r="M38" i="2"/>
  <c r="J100" i="2"/>
  <c r="D115" i="2"/>
  <c r="N102" i="2"/>
  <c r="I100" i="5"/>
  <c r="H92" i="5"/>
  <c r="B65" i="3" l="1"/>
  <c r="B64" i="3"/>
  <c r="B75" i="3"/>
  <c r="B69" i="3"/>
  <c r="B74" i="3"/>
  <c r="B67" i="3"/>
  <c r="B72" i="3"/>
  <c r="B70" i="3"/>
  <c r="M17" i="2"/>
  <c r="I102" i="5"/>
  <c r="H50" i="3"/>
  <c r="G76" i="5" s="1"/>
  <c r="D125" i="5" s="1"/>
  <c r="C76" i="5"/>
  <c r="E104" i="5"/>
  <c r="F88" i="5"/>
  <c r="F83" i="5"/>
  <c r="F90" i="5" s="1"/>
  <c r="I87" i="5"/>
  <c r="D102" i="5"/>
  <c r="H96" i="5"/>
  <c r="F105" i="5"/>
  <c r="J105" i="5" s="1"/>
  <c r="F106" i="5"/>
  <c r="F89" i="5"/>
  <c r="F101" i="5"/>
  <c r="E103" i="5"/>
  <c r="E78" i="5"/>
  <c r="C50" i="3"/>
  <c r="B76" i="5" s="1"/>
  <c r="J100" i="5"/>
  <c r="I92" i="5"/>
  <c r="C100" i="5"/>
  <c r="M51" i="2"/>
  <c r="L61" i="2"/>
  <c r="N37" i="2"/>
  <c r="K118" i="4"/>
  <c r="M42" i="2"/>
  <c r="K117" i="5"/>
  <c r="K100" i="2"/>
  <c r="E115" i="2"/>
  <c r="D51" i="3"/>
  <c r="J106" i="4"/>
  <c r="M24" i="2"/>
  <c r="N18" i="2"/>
  <c r="N24" i="2" s="1"/>
  <c r="K118" i="5"/>
  <c r="N38" i="2"/>
  <c r="K119" i="4"/>
  <c r="M43" i="2"/>
  <c r="J104" i="5"/>
  <c r="L107" i="2"/>
  <c r="N19" i="2" l="1"/>
  <c r="N43" i="2" s="1"/>
  <c r="J102" i="5"/>
  <c r="D122" i="5"/>
  <c r="D121" i="5"/>
  <c r="D124" i="5"/>
  <c r="H51" i="3"/>
  <c r="G77" i="5" s="1"/>
  <c r="E122" i="5" s="1"/>
  <c r="C77" i="5"/>
  <c r="C78" i="5" s="1"/>
  <c r="J87" i="5"/>
  <c r="F107" i="5"/>
  <c r="D104" i="5"/>
  <c r="D103" i="5"/>
  <c r="F91" i="5"/>
  <c r="I96" i="5"/>
  <c r="C102" i="5"/>
  <c r="G105" i="5"/>
  <c r="G103" i="5" s="1"/>
  <c r="H105" i="5"/>
  <c r="I105" i="5"/>
  <c r="D78" i="5"/>
  <c r="E106" i="5"/>
  <c r="E105" i="5"/>
  <c r="E82" i="5"/>
  <c r="E101" i="5"/>
  <c r="C51" i="3"/>
  <c r="B77" i="5" s="1"/>
  <c r="L119" i="4"/>
  <c r="L118" i="5"/>
  <c r="L100" i="2"/>
  <c r="F115" i="2"/>
  <c r="L104" i="5"/>
  <c r="N107" i="2"/>
  <c r="K100" i="5"/>
  <c r="J92" i="5"/>
  <c r="B100" i="5"/>
  <c r="L117" i="5"/>
  <c r="L118" i="4"/>
  <c r="N42" i="2"/>
  <c r="K105" i="5"/>
  <c r="K106" i="4"/>
  <c r="K104" i="5"/>
  <c r="M107" i="2"/>
  <c r="M61" i="2"/>
  <c r="N51" i="2"/>
  <c r="N17" i="2"/>
  <c r="K102" i="5" l="1"/>
  <c r="N61" i="2"/>
  <c r="E125" i="5"/>
  <c r="E121" i="5"/>
  <c r="E124" i="5"/>
  <c r="G101" i="4"/>
  <c r="G114" i="4"/>
  <c r="D87" i="4"/>
  <c r="E82" i="4"/>
  <c r="C82" i="4"/>
  <c r="G103" i="4"/>
  <c r="G115" i="4"/>
  <c r="B70" i="4"/>
  <c r="K87" i="5"/>
  <c r="C104" i="5"/>
  <c r="E107" i="5"/>
  <c r="G101" i="5"/>
  <c r="G107" i="5" s="1"/>
  <c r="D105" i="5"/>
  <c r="D106" i="5"/>
  <c r="D101" i="5"/>
  <c r="D82" i="5"/>
  <c r="C103" i="5"/>
  <c r="C106" i="5" s="1"/>
  <c r="J96" i="5"/>
  <c r="B102" i="5"/>
  <c r="B104" i="5" s="1"/>
  <c r="E88" i="5"/>
  <c r="E83" i="5"/>
  <c r="N100" i="2"/>
  <c r="H115" i="2"/>
  <c r="M100" i="2"/>
  <c r="G115" i="2"/>
  <c r="K92" i="5"/>
  <c r="L100" i="5"/>
  <c r="L102" i="5" s="1"/>
  <c r="L106" i="4"/>
  <c r="L105" i="5"/>
  <c r="G104" i="4" l="1"/>
  <c r="C105" i="5"/>
  <c r="E87" i="4"/>
  <c r="F82" i="4"/>
  <c r="F87" i="4" s="1"/>
  <c r="F88" i="4" s="1"/>
  <c r="G88" i="4" s="1"/>
  <c r="I105" i="4"/>
  <c r="L105" i="4"/>
  <c r="J105" i="4"/>
  <c r="H105" i="4"/>
  <c r="G105" i="4"/>
  <c r="K105" i="4"/>
  <c r="F103" i="4"/>
  <c r="F77" i="4"/>
  <c r="B82" i="4"/>
  <c r="B87" i="4" s="1"/>
  <c r="C87" i="4"/>
  <c r="F101" i="4"/>
  <c r="G93" i="4"/>
  <c r="G97" i="4" s="1"/>
  <c r="C101" i="5"/>
  <c r="C107" i="5" s="1"/>
  <c r="L87" i="5"/>
  <c r="D88" i="5"/>
  <c r="D83" i="5"/>
  <c r="D107" i="5"/>
  <c r="G106" i="5"/>
  <c r="G89" i="5"/>
  <c r="G91" i="5" s="1"/>
  <c r="G93" i="5" s="1"/>
  <c r="K96" i="5"/>
  <c r="C82" i="5"/>
  <c r="E90" i="5"/>
  <c r="E91" i="5"/>
  <c r="B103" i="5"/>
  <c r="B78" i="5"/>
  <c r="C129" i="5"/>
  <c r="L92" i="5"/>
  <c r="B129" i="5"/>
  <c r="B133" i="5"/>
  <c r="H103" i="5" l="1"/>
  <c r="F78" i="4"/>
  <c r="F104" i="4" s="1"/>
  <c r="F102" i="4" s="1"/>
  <c r="F108" i="4" s="1"/>
  <c r="H101" i="4"/>
  <c r="E101" i="4"/>
  <c r="F76" i="4"/>
  <c r="E77" i="4"/>
  <c r="E103" i="4"/>
  <c r="F105" i="4"/>
  <c r="J75" i="5"/>
  <c r="K75" i="5" s="1"/>
  <c r="G97" i="5"/>
  <c r="D90" i="5"/>
  <c r="G78" i="5"/>
  <c r="C88" i="5"/>
  <c r="C83" i="5"/>
  <c r="B82" i="5"/>
  <c r="B105" i="5"/>
  <c r="B106" i="5"/>
  <c r="B101" i="5"/>
  <c r="L96" i="5"/>
  <c r="H88" i="4"/>
  <c r="F79" i="4" l="1"/>
  <c r="I103" i="5"/>
  <c r="D129" i="5"/>
  <c r="H106" i="5"/>
  <c r="H89" i="5"/>
  <c r="H91" i="5" s="1"/>
  <c r="H93" i="5" s="1"/>
  <c r="H101" i="5"/>
  <c r="H107" i="5" s="1"/>
  <c r="F90" i="4"/>
  <c r="F92" i="4" s="1"/>
  <c r="E105" i="4"/>
  <c r="D103" i="4"/>
  <c r="D77" i="4"/>
  <c r="I101" i="4"/>
  <c r="H93" i="4"/>
  <c r="H97" i="4" s="1"/>
  <c r="F83" i="4"/>
  <c r="F107" i="4"/>
  <c r="E76" i="4"/>
  <c r="D101" i="4"/>
  <c r="E78" i="4"/>
  <c r="E104" i="4" s="1"/>
  <c r="C90" i="5"/>
  <c r="B107" i="5"/>
  <c r="G82" i="5"/>
  <c r="B88" i="5"/>
  <c r="B83" i="5"/>
  <c r="I88" i="4"/>
  <c r="J76" i="5" l="1"/>
  <c r="K76" i="5" s="1"/>
  <c r="H97" i="5"/>
  <c r="I101" i="5"/>
  <c r="I107" i="5" s="1"/>
  <c r="J103" i="5"/>
  <c r="I106" i="5"/>
  <c r="I89" i="5"/>
  <c r="I91" i="5" s="1"/>
  <c r="I93" i="5" s="1"/>
  <c r="E129" i="5"/>
  <c r="C101" i="4"/>
  <c r="D76" i="4"/>
  <c r="E79" i="4"/>
  <c r="D78" i="4"/>
  <c r="D104" i="4" s="1"/>
  <c r="C78" i="4" s="1"/>
  <c r="C104" i="4" s="1"/>
  <c r="B78" i="4" s="1"/>
  <c r="B104" i="4" s="1"/>
  <c r="E107" i="4"/>
  <c r="E83" i="4"/>
  <c r="F84" i="4"/>
  <c r="F91" i="4" s="1"/>
  <c r="F89" i="4"/>
  <c r="D105" i="4"/>
  <c r="C77" i="4"/>
  <c r="C103" i="4"/>
  <c r="J101" i="4"/>
  <c r="I93" i="4"/>
  <c r="I97" i="4" s="1"/>
  <c r="E102" i="4"/>
  <c r="E108" i="4" s="1"/>
  <c r="G83" i="5"/>
  <c r="B90" i="5"/>
  <c r="J88" i="4"/>
  <c r="J89" i="5" l="1"/>
  <c r="J91" i="5" s="1"/>
  <c r="J93" i="5" s="1"/>
  <c r="J77" i="5"/>
  <c r="K77" i="5" s="1"/>
  <c r="I97" i="5"/>
  <c r="K103" i="5"/>
  <c r="J101" i="5"/>
  <c r="J107" i="5" s="1"/>
  <c r="J106" i="5"/>
  <c r="F129" i="5"/>
  <c r="D83" i="4"/>
  <c r="D84" i="4" s="1"/>
  <c r="D79" i="4"/>
  <c r="D107" i="4"/>
  <c r="K101" i="4"/>
  <c r="J93" i="4"/>
  <c r="J97" i="4" s="1"/>
  <c r="E89" i="4"/>
  <c r="E84" i="4"/>
  <c r="B101" i="4"/>
  <c r="C76" i="4"/>
  <c r="C79" i="4" s="1"/>
  <c r="C102" i="4"/>
  <c r="C108" i="4" s="1"/>
  <c r="C107" i="4"/>
  <c r="C83" i="4"/>
  <c r="B77" i="4"/>
  <c r="C105" i="4"/>
  <c r="B103" i="4"/>
  <c r="D102" i="4"/>
  <c r="D108" i="4" s="1"/>
  <c r="K88" i="4"/>
  <c r="D89" i="4" l="1"/>
  <c r="K106" i="5"/>
  <c r="J97" i="5"/>
  <c r="J78" i="5"/>
  <c r="K78" i="5" s="1"/>
  <c r="D91" i="4"/>
  <c r="G84" i="4"/>
  <c r="C84" i="4"/>
  <c r="C91" i="4" s="1"/>
  <c r="C89" i="4"/>
  <c r="B102" i="4"/>
  <c r="B108" i="4" s="1"/>
  <c r="B76" i="4"/>
  <c r="B79" i="4" s="1"/>
  <c r="G79" i="4" s="1"/>
  <c r="B83" i="4"/>
  <c r="B107" i="4"/>
  <c r="B105" i="4"/>
  <c r="E92" i="4"/>
  <c r="E91" i="4"/>
  <c r="K93" i="4"/>
  <c r="K97" i="4" s="1"/>
  <c r="L101" i="4"/>
  <c r="L88" i="4"/>
  <c r="K89" i="5" l="1"/>
  <c r="K91" i="5" s="1"/>
  <c r="K93" i="5" s="1"/>
  <c r="G129" i="5"/>
  <c r="L103" i="5" s="1"/>
  <c r="K101" i="5"/>
  <c r="K107" i="5" s="1"/>
  <c r="B130" i="4"/>
  <c r="B135" i="4"/>
  <c r="L93" i="4"/>
  <c r="L97" i="4" s="1"/>
  <c r="G83" i="4"/>
  <c r="B89" i="4"/>
  <c r="B84" i="4"/>
  <c r="B91" i="4" s="1"/>
  <c r="L89" i="5" l="1"/>
  <c r="L91" i="5" s="1"/>
  <c r="L93" i="5" s="1"/>
  <c r="K97" i="5"/>
  <c r="J79" i="5"/>
  <c r="K79" i="5" s="1"/>
  <c r="C130" i="4"/>
  <c r="G102" i="4"/>
  <c r="G108" i="4" s="1"/>
  <c r="G107" i="4"/>
  <c r="G90" i="4"/>
  <c r="G92" i="4" s="1"/>
  <c r="G94" i="4" s="1"/>
  <c r="H103" i="4" l="1"/>
  <c r="H104" i="4" s="1"/>
  <c r="L97" i="5"/>
  <c r="J80" i="5"/>
  <c r="K80" i="5" s="1"/>
  <c r="L101" i="5"/>
  <c r="L107" i="5" s="1"/>
  <c r="L106" i="5"/>
  <c r="J76" i="4"/>
  <c r="K76" i="4" s="1"/>
  <c r="G98" i="4"/>
  <c r="D130" i="4" l="1"/>
  <c r="I103" i="4" s="1"/>
  <c r="H107" i="4"/>
  <c r="H90" i="4"/>
  <c r="H92" i="4" s="1"/>
  <c r="H94" i="4" s="1"/>
  <c r="H102" i="4"/>
  <c r="H108" i="4" s="1"/>
  <c r="I104" i="4" l="1"/>
  <c r="I107" i="4" s="1"/>
  <c r="J77" i="4"/>
  <c r="K77" i="4" s="1"/>
  <c r="H98" i="4"/>
  <c r="I102" i="4" l="1"/>
  <c r="I108" i="4" s="1"/>
  <c r="I90" i="4"/>
  <c r="I92" i="4" s="1"/>
  <c r="I94" i="4" s="1"/>
  <c r="I98" i="4" s="1"/>
  <c r="E130" i="4"/>
  <c r="J103" i="4"/>
  <c r="J104" i="4" s="1"/>
  <c r="J78" i="4" l="1"/>
  <c r="K78" i="4" s="1"/>
  <c r="J102" i="4"/>
  <c r="J108" i="4" s="1"/>
  <c r="J107" i="4"/>
  <c r="J90" i="4"/>
  <c r="J92" i="4" s="1"/>
  <c r="J94" i="4" s="1"/>
  <c r="F130" i="4"/>
  <c r="J98" i="4" l="1"/>
  <c r="J79" i="4"/>
  <c r="K79" i="4" s="1"/>
  <c r="K103" i="4"/>
  <c r="K104" i="4" l="1"/>
  <c r="K90" i="4" s="1"/>
  <c r="K92" i="4" s="1"/>
  <c r="K94" i="4" s="1"/>
  <c r="K98" i="4" l="1"/>
  <c r="J80" i="4"/>
  <c r="K80" i="4" s="1"/>
  <c r="G130" i="4"/>
  <c r="L103" i="4" s="1"/>
  <c r="L104" i="4" s="1"/>
  <c r="K107" i="4"/>
  <c r="K102" i="4"/>
  <c r="K108" i="4" s="1"/>
  <c r="L90" i="4" l="1"/>
  <c r="L92" i="4" s="1"/>
  <c r="L94" i="4" s="1"/>
  <c r="L102" i="4"/>
  <c r="L108" i="4" s="1"/>
  <c r="L107" i="4"/>
  <c r="L98" i="4" l="1"/>
  <c r="J81" i="4"/>
  <c r="K81" i="4" s="1"/>
</calcChain>
</file>

<file path=xl/sharedStrings.xml><?xml version="1.0" encoding="utf-8"?>
<sst xmlns="http://schemas.openxmlformats.org/spreadsheetml/2006/main" count="420" uniqueCount="255">
  <si>
    <t>Springer Nature</t>
  </si>
  <si>
    <t>Introduction</t>
  </si>
  <si>
    <t>While previous library subscription fees are known, the entity of costs for open access publishing of articles (APCs) before the DEAL agreements is, in most cases, unknown, as payments have largely been made outside of central oversight. Additionally, budgeting for the open access publishing needs of researchers is particularly challenging, given the variability and lack of insight into their publishing habits.</t>
  </si>
  <si>
    <t>How it works</t>
  </si>
  <si>
    <t>Get started</t>
  </si>
  <si>
    <t>Methodology</t>
  </si>
  <si>
    <t>Read more about the data sets used in the Tool and the default growth rates and cost scenarios applied in the Tool’s Projections</t>
  </si>
  <si>
    <t>Settings</t>
  </si>
  <si>
    <t>Group Projections</t>
  </si>
  <si>
    <t>Institutional Projections</t>
  </si>
  <si>
    <t>Baseline data and calculations</t>
  </si>
  <si>
    <t>Publishing data and trends</t>
  </si>
  <si>
    <t>To capture open access publishing trends, publication data used in the present analysis was extracted from Web of Science and normalized using Web of Science OA categories, which are based on information from Unpaywall, to filter out articles without an open Creative Commons license (green and bronze OA) and identify those published immediately open access (with a CC license) in hybrid and gold OA journals.</t>
  </si>
  <si>
    <t>Total annual article output</t>
  </si>
  <si>
    <t>Observed trends</t>
  </si>
  <si>
    <t>Projected article output</t>
  </si>
  <si>
    <t>Articles behind paywall</t>
  </si>
  <si>
    <t>Gold OA</t>
  </si>
  <si>
    <t>Hybrid OA</t>
  </si>
  <si>
    <t>Total</t>
  </si>
  <si>
    <t>Open Access shares</t>
  </si>
  <si>
    <t>Projections based on trends (without DEAL, used for baseline scenarios)</t>
  </si>
  <si>
    <t>Gold OA %</t>
  </si>
  <si>
    <t>Hybrid OA %</t>
  </si>
  <si>
    <t>Open access publishing cost data and trends</t>
  </si>
  <si>
    <t>Weighted average APCs</t>
  </si>
  <si>
    <t>Projections</t>
  </si>
  <si>
    <t>Total OA publishing costs</t>
  </si>
  <si>
    <t xml:space="preserve">Projected expenditure </t>
  </si>
  <si>
    <t>Total subscription costs</t>
  </si>
  <si>
    <t>Total subsciption fees</t>
  </si>
  <si>
    <t>Total open access publishing and subscription costs</t>
  </si>
  <si>
    <t>The table below sums the open access publishing and subscription cost estimates calculated above to extrapolate growth trends of the period 2016-2019 and projects future costs under baseline conditions (status quo before the DEAL agreement).</t>
  </si>
  <si>
    <t>Total expenditure</t>
  </si>
  <si>
    <t>Subscriptions + APCs</t>
  </si>
  <si>
    <t>DEAL Agreement data and calculations</t>
  </si>
  <si>
    <t>Number of articles
(DEAL)</t>
  </si>
  <si>
    <t>Year</t>
  </si>
  <si>
    <t>Hybrid (research articles)</t>
  </si>
  <si>
    <t>Hybrid (non-research articles)</t>
  </si>
  <si>
    <t>As the gold OA publishing component of the DEAL agreement started in August 2020, the total number of articles published in fully OA journals was extracted by multiplying the reported total number of gold OA articles for the period August-December 2020 by 2,4 to obtain an estimate for the full year.</t>
  </si>
  <si>
    <t>For fully OA publishing: total number of Gold OA articles multiplied by the average APC of the applicable year, with a 20% discount</t>
  </si>
  <si>
    <t>For the DEAL consortium overhead: the total number of hybrid research articles multiplied by 150€</t>
  </si>
  <si>
    <t>DEAL total costs
(PAR fees and Gold OA APCs)</t>
  </si>
  <si>
    <t>Gold OA APCs</t>
  </si>
  <si>
    <t>PAR fees Hybrid (research articles)</t>
  </si>
  <si>
    <t>PAR fees Hybrid (non-research articles)</t>
  </si>
  <si>
    <t>Overhead fees</t>
  </si>
  <si>
    <t>Building projections from DEAL 2020 data</t>
  </si>
  <si>
    <t>Year-on-year article growth:</t>
  </si>
  <si>
    <t>Actual growth</t>
  </si>
  <si>
    <t>Projections based on estimated publishing output</t>
  </si>
  <si>
    <t>2015-2016</t>
  </si>
  <si>
    <t>2016-2017</t>
  </si>
  <si>
    <t>2017-2018</t>
  </si>
  <si>
    <t>2018-2019</t>
  </si>
  <si>
    <t>2019-2020</t>
  </si>
  <si>
    <t>2020-2021</t>
  </si>
  <si>
    <t>2021-2022</t>
  </si>
  <si>
    <t>2022-2023</t>
  </si>
  <si>
    <t>2023-2024</t>
  </si>
  <si>
    <t>2024-2025</t>
  </si>
  <si>
    <t>Number of articles</t>
  </si>
  <si>
    <t>DEAL</t>
  </si>
  <si>
    <t>Taking into account the expected growth rates outlined above, the total costs of open access publishing and full access to the publisher’s journal portfolio under the DEAL agreement are projected in the following table.</t>
  </si>
  <si>
    <t>Baseline DEAL fees</t>
  </si>
  <si>
    <t>Total fees</t>
  </si>
  <si>
    <t>Cost projection scenarios</t>
  </si>
  <si>
    <t>Status quo (subscription-based system)</t>
  </si>
  <si>
    <t>The baseline scenario illustrates the progression of open access publishing and costs under “business as usual” conditions with the relative publisher, in which institutions pay for subscriptions and authors pay APCs for open access publishing.</t>
  </si>
  <si>
    <t>This previously unmet demand constitutes the key value metric for this scenario, associating the usage increase with a corresponding increase in subscription cost with the relative publisher, were institutions to completely fill their previous access gaps with traditional subscriptions.</t>
  </si>
  <si>
    <t>The Federal Ministry for Education and Research (Bundeministerium für Bildung und Forschung, BMBF) has set the objective that by 2025 70% of all new research publications in Germany should be published open access. The DEAL Agreements, collectively, are making significant inroads toward that objective; when factoring the 70% OA objective down to the individual publisher level, the goal is easily surpassed through DEAL.</t>
  </si>
  <si>
    <t>Enabling 100% open access publishing for all German scholars</t>
  </si>
  <si>
    <t>While the DEAL agreements enable unlimited open access publishing under a controlled cost structure, this scenario presents projected costs in APC expenditure if all articles by German authors in the journals of the relative publisher were published immediately open access under the baseline conditions.</t>
  </si>
  <si>
    <t>100% OA and access to all journals</t>
  </si>
  <si>
    <t>The final scenario presents the maximum level of service, combining the "Access to all journals" scenario and the "100% Open Access" scenario to replicate the conditions secured with the DEAL agreement and highlight potential costs under status quo (subscription) conditions. In other words, it illustrates what a DEAL service portfolio would cost without a DEAL agreement.</t>
  </si>
  <si>
    <t>Projection Settings</t>
  </si>
  <si>
    <t>Projection Parameters</t>
  </si>
  <si>
    <t>Annual article output growth rate:</t>
  </si>
  <si>
    <t>Annual subscription fee price increase</t>
  </si>
  <si>
    <t>Non-subscribed journals (portfolio access gap in %)</t>
  </si>
  <si>
    <t>2025 target for open access of annual article output</t>
  </si>
  <si>
    <t>Actual articles published
(publikationsbasiertes Abrechnungsverfahren)</t>
  </si>
  <si>
    <t>Hybrid articles (research, 2.750€)</t>
  </si>
  <si>
    <t>Hybrid articles (non-research, 917€)</t>
  </si>
  <si>
    <t>Gold OA articles (August-December)</t>
  </si>
  <si>
    <t>Subscription fees</t>
  </si>
  <si>
    <t>Estimated publishing in previous years</t>
  </si>
  <si>
    <t>Total number of articles</t>
  </si>
  <si>
    <t>Gold OA articles</t>
  </si>
  <si>
    <t>Hybrid OA articles</t>
  </si>
  <si>
    <t>Actual publishing in previous years</t>
  </si>
  <si>
    <t>Cost scenarios</t>
  </si>
  <si>
    <t>Description</t>
  </si>
  <si>
    <t>100% Open Access</t>
  </si>
  <si>
    <t>This scenario presents projected costs in APC expenditure if all articles by German authors in the journals of the relative publisher were published immediately open access under the baseline conditions.</t>
  </si>
  <si>
    <t>Country:</t>
  </si>
  <si>
    <t>Germany</t>
  </si>
  <si>
    <t>State</t>
  </si>
  <si>
    <t>All</t>
  </si>
  <si>
    <t>Select scenario:</t>
  </si>
  <si>
    <t>Subscriptions</t>
  </si>
  <si>
    <t>APC expenditure</t>
  </si>
  <si>
    <t>DEAL (reference)</t>
  </si>
  <si>
    <t xml:space="preserve">The key trend lines that emerge in the different scenarios provide an evidence base to compare and assess the cost/benefit of the unlimited reading and open access publishing enabled with the DEAL agreements. </t>
  </si>
  <si>
    <t>PABA</t>
  </si>
  <si>
    <t>Total articles</t>
  </si>
  <si>
    <t>Hybrid</t>
  </si>
  <si>
    <t>Projections based on national growth trends</t>
  </si>
  <si>
    <t>Cost avoided through DEAL:</t>
  </si>
  <si>
    <t>Annual</t>
  </si>
  <si>
    <t>Cumulative</t>
  </si>
  <si>
    <t>Articles</t>
  </si>
  <si>
    <t>Growth</t>
  </si>
  <si>
    <t>Gold</t>
  </si>
  <si>
    <t>Closed %</t>
  </si>
  <si>
    <t>Costs</t>
  </si>
  <si>
    <t>Hybrid and gold APCs</t>
  </si>
  <si>
    <t>Total (Subscriptions + APCs)</t>
  </si>
  <si>
    <t>Total expenditure (Subscriptions + APCs)</t>
  </si>
  <si>
    <t>DEAL-Possible costs difference</t>
  </si>
  <si>
    <t>Area min/max</t>
  </si>
  <si>
    <t>Area</t>
  </si>
  <si>
    <t>Closed articles</t>
  </si>
  <si>
    <t>Gold Share</t>
  </si>
  <si>
    <t>Hybrid share</t>
  </si>
  <si>
    <t>OA:</t>
  </si>
  <si>
    <t>Closed share</t>
  </si>
  <si>
    <t>Hybrid articles (research)</t>
  </si>
  <si>
    <t>Hybrid articles (non-research)</t>
  </si>
  <si>
    <t>Gold report</t>
  </si>
  <si>
    <t>R/non-R ratio</t>
  </si>
  <si>
    <t>OA deviation</t>
  </si>
  <si>
    <t>APC rates</t>
  </si>
  <si>
    <t>Weighted avg gold</t>
  </si>
  <si>
    <t>Weighted avg hybrid</t>
  </si>
  <si>
    <t>subs increase</t>
  </si>
  <si>
    <t>hybrid % 2019</t>
  </si>
  <si>
    <t>gold OA increase/year</t>
  </si>
  <si>
    <t>hybrid OA increase/year</t>
  </si>
  <si>
    <t>original</t>
  </si>
  <si>
    <t>gradual</t>
  </si>
  <si>
    <t>Increase for x% OA</t>
  </si>
  <si>
    <t>max</t>
  </si>
  <si>
    <t>Hybrid (research)</t>
  </si>
  <si>
    <t>Hybrid (non-research)</t>
  </si>
  <si>
    <t>pubs check</t>
  </si>
  <si>
    <t>subs check</t>
  </si>
  <si>
    <t>paba check</t>
  </si>
  <si>
    <t>paba + subs check</t>
  </si>
  <si>
    <t>inst_state</t>
  </si>
  <si>
    <t>Niedersachsen</t>
  </si>
  <si>
    <t>Bayern</t>
  </si>
  <si>
    <t>Nordrhein-Westfalen</t>
  </si>
  <si>
    <t>Hamburg</t>
  </si>
  <si>
    <t>Baden-Württemberg</t>
  </si>
  <si>
    <t>Hessen</t>
  </si>
  <si>
    <t>Berlin</t>
  </si>
  <si>
    <t>Thüringen</t>
  </si>
  <si>
    <t>Bremen</t>
  </si>
  <si>
    <t>Sachsen</t>
  </si>
  <si>
    <t>Rheinland-Pfalz</t>
  </si>
  <si>
    <t>Brandenburg</t>
  </si>
  <si>
    <t>Mecklenburg-Vorpommern</t>
  </si>
  <si>
    <t>Saarland</t>
  </si>
  <si>
    <t>Sachsen-Anhalt</t>
  </si>
  <si>
    <t>Schleswig-Holstein</t>
  </si>
  <si>
    <t>2017 subs</t>
  </si>
  <si>
    <t>hybrid res</t>
  </si>
  <si>
    <t>hybrid nonres</t>
  </si>
  <si>
    <t>gold</t>
  </si>
  <si>
    <t>The DEAL agreements have reined in author-facing publishing fees and introduced a cost-neutral framework to orient the current subscription investment in Germany around open dissemination of research. Yet depending on the level of an institution‘s publishing output and subscription-based costs, a rebalancing of investments may be required.</t>
  </si>
  <si>
    <t>Input your institutional reference data and set different variables to be applied in the Tool‘s projections</t>
  </si>
  <si>
    <t>Projection parameter settings</t>
  </si>
  <si>
    <t>The Tool applies the national-level annual article output growth rates described in the Methodology by default. Institutions with complete data on previous years' actual publishing output can input the figures in the spaces provided below in Step 3 to calculate their actual article growth rate and adjust this Projection Parameter accordingly.</t>
  </si>
  <si>
    <t>Reference data for the institutional projections</t>
  </si>
  <si>
    <t>Step 4 – Review the settings that will be applied in the projections (Projection Parameters), as explained in the Methodology, and, if desired, adjust the settings for custom projections.</t>
  </si>
  <si>
    <t>This scenario associates the usage increase observed upon implementation of the DEAL agreement with a corresponding increase in cost with the relative publisher, were institutions to fill their previous access gaps with subscriptions.</t>
  </si>
  <si>
    <t>The final scenario is the most extreme and combines the "Access to all journals" scenario and the "100% Open Access" scenario to replicate the conditions secured with the DEAL agreement and contrast potential costs under status quo (subscription) conditions. In other words, it illustrates what a DEAL service portfolio would cost without a DEAL agreement.</t>
  </si>
  <si>
    <r>
      <rPr>
        <b/>
        <sz val="11"/>
        <color indexed="64"/>
        <rFont val="Calibri"/>
        <family val="2"/>
        <scheme val="minor"/>
      </rPr>
      <t>The first key trend line shows institutional spending on subscription fees.</t>
    </r>
    <r>
      <rPr>
        <sz val="11"/>
        <color indexed="64"/>
        <rFont val="Calibri"/>
        <family val="2"/>
        <scheme val="minor"/>
      </rPr>
      <t xml:space="preserve"> The trend line is based on the actual fees paid by institutions, as collected in the DEAL reference year 2017, and develops over time considering a default conservative average annual price increase of 3%.</t>
    </r>
  </si>
  <si>
    <r>
      <t xml:space="preserve">Savings in cost avoidance secured through the DEAL agreement, or funding gaps, are highlighted in the </t>
    </r>
    <r>
      <rPr>
        <b/>
        <sz val="11"/>
        <color indexed="64"/>
        <rFont val="Calibri"/>
        <family val="2"/>
        <scheme val="minor"/>
      </rPr>
      <t>shaded area</t>
    </r>
    <r>
      <rPr>
        <sz val="11"/>
        <color indexed="64"/>
        <rFont val="Calibri"/>
        <family val="2"/>
        <scheme val="minor"/>
      </rPr>
      <t>.</t>
    </r>
  </si>
  <si>
    <t>DEAL Cost Modeling Tool</t>
  </si>
  <si>
    <t>Yes</t>
  </si>
  <si>
    <t>Introducing the DEAL Cost Modeling Tool</t>
  </si>
  <si>
    <t>The interactive DEAL Cost Modeling Tool uses known institutional publishing and financial data and robust methodology to give institutions the ability to make realistic cost assessments and generate financial projections of their future costs based on different scenarios relevant to the scholarly publishing needs of their researchers.</t>
  </si>
  <si>
    <t>The DEAL Cost Modeling Tool makes it easy for institutions to:</t>
  </si>
  <si>
    <t>· gain insight into the publishing trends of their authors
· benchmark the entity of previously hidden open access publishing costs, 
· calculate the immediate financial impact of the DEAL agreements, and 
· forecast long-term savings, or funding requirements to support the needs of their scholars, in the transition of scholarly publishing to open access.</t>
  </si>
  <si>
    <t>Institutions need simply input the total number of articles published by their authors under the DEAL agreements, provided in MPDL Services GmbH reporting, and the total amount of their subscription fees from years previous to the DEAL agreements. The Tool then integrates this reference data into its calculations and projections, automatically.</t>
  </si>
  <si>
    <t>In order to fuel realistic, data-based projections, the Tool is built on industry-standard sources and tracks annual article output, APC price information and subscription fees on a national level over multiple years using a highly refined methodology. The relative growth rates are calculated and automatically applied to the institution’s reference figures, to generate sound estimations of past and future institutional publishing trends and total costs. The emerging trend lines are presented in a number of scenarios, and the cost projections can be downloaded for use in budget consultations among stakeholders, to evaluate savings in cost avoidance and to discuss funding redistribution needs to support the open access transition enabled by DEAL.</t>
  </si>
  <si>
    <t>If known, institutions can input additional publishing data and adjust other parameters to produce more refined Institutional Projections. In addition, group projections at the national and state levels are also available.</t>
  </si>
  <si>
    <t>enter data</t>
  </si>
  <si>
    <t>all check</t>
  </si>
  <si>
    <t>Data from a variety of sources has been collected and analyzed in the present Tool in order to uncover publishing trends and total costs for scholarly communication services under the "business as usual" conditions in which institutions pay for subscriptions and authors pay APCs for open access publishing. From this data, baseline growth trends are extrapolated and used to calculate projections for individual institutions or at the national and state levels.</t>
  </si>
  <si>
    <t>Average annual growth rate
2016-2019</t>
  </si>
  <si>
    <t>To calculate expenditure for open access articles that did not result in a match with journal-level price data in OADAT, the dataset compiled by Lisa Matthias (2020, doi: 10.5281/zenodo.3841568) was used Then, for the remainder still lacking price data, about 2% of cases, the average list APC prices of Springer Nature's gold and hybrid journals were calculated for the relevant year and business model to arrive at a complete expenditure estimation.</t>
  </si>
  <si>
    <t>Official list price APCs were used in this analysis in order to obtain the most complete and accurate cost data possible for use in the DEAL Cost Modelling Tool's projections. While constituting another valuable source of open access publishing cost information, the OpenAPC dataset was not used in the present analysis, due to the limited number of institutions contributing cost data, the variability in their reporting practices (inclusion VAT and additional fees) and the volatility of discounts and waivers granted by publishers to individual authors.</t>
  </si>
  <si>
    <t>Hybrid OA articles covered by transformative agreements negotiated by individual institutions in the years previous to DEAL (such as Springer Compact) are excluded from the number of hybrid OA articles and the overall costs so as not to distort the organic growth rates.</t>
  </si>
  <si>
    <t>Subscription costs and their growth rates</t>
  </si>
  <si>
    <t>The subscription cost data used in this analysis are as used in the contract participation process or as identified in the 2017 DEAL survey. This is a comprehensive database validated by the contract participation process.</t>
  </si>
  <si>
    <t>While the DEAL agreement enables full access to the publisher’s complete portfolio of scholarly journals, institutional subscription holdings previous to the DEAL agreements varied and some DEAL institutions had no previous journal access. The subscription cost data therefore represents the costs for only those journals previously subscribed. The cost projections were calculated considering a conservative average annual price increase of 3%. Institutions also have the ability to customize the annual subscription price increase growth rate in the Settings tab.</t>
  </si>
  <si>
    <t>Estimated annual growth rate</t>
  </si>
  <si>
    <t>Closing the gap in reading access</t>
  </si>
  <si>
    <t>To enable comparisons and assess the effects of the DEAL agreement, the present Tool works on the basis of the actual article final tallies for 2020, as reported to the relative DEAL institutions ('publikationsanzahlbasiertes Abrechnungsverfahren', PABA and Gold OA invoices).</t>
  </si>
  <si>
    <t>In the projections below, and in the Tool's visualizations, the 2020 article totals represent the sum of research articles and non-research articles in hybrid and fully OA journals by DEAL-affiliated authors. The author affiliations are associated on the national, state, and institution level.</t>
  </si>
  <si>
    <t>The 2020 ratio of research/non-research articles is applied as a constant in the projections, but the ratio is always calculated based on the actual ratio of each level (national, state, research group, and institution).</t>
  </si>
  <si>
    <t>The baseline DEAL costs are calculated using on the following formulas, and always exclude VAT:</t>
  </si>
  <si>
    <t>DEAL publishing and cost projections and trend lines presented in the Tool are calculated by taking actual 2020 article totals (PABA + Gold OA) and applying national year-on-year growth rates highlighted in the section above. To obtain institutional projections, institutions must input their own article totals in the relative field on the Settings tab.</t>
  </si>
  <si>
    <t>While the global research and scholarly publishing communities have noted a large increase in research activity related to the COVID19 pandemic, resulting in an unusually high number of publications in 2020 across all fields (cf. https://www.nature.com/articles/d41586-020-03564-y), the Tool's projections assume a return to the normal growth rate of articles observed in the past 4 years.</t>
  </si>
  <si>
    <t>To fully assess the financial impact of the DEAL agreement, the cost trend lines described above are presented in the Projections in five different service level scenarios, contrasting costs under the baseline conditions of a subscription-based system with costs for service under the conditions secured with the DEAL agreement.</t>
  </si>
  <si>
    <t>Access to all journals: Full and equal access to scholarly journals</t>
  </si>
  <si>
    <t>While the expectation of today’s digital-native researchers is immediate access to everything, only a handful of institutions could previously afford to meet that demand and subscribe to complete journal portfolios. These gaps in access led to gross inequities across the research landscape in Germany. As mentioned above, when full access was established as part of the DEAL agreement, the gap closed and usage increased by at least 40%.</t>
  </si>
  <si>
    <t>Meeting the BMBF objectives for open access to German research</t>
  </si>
  <si>
    <t>In contrast, this scenario models a trajectory of growth in open access publishing of articles with the relative publisher, from starting levels to the 70% goal, and the projected costs under the „business as usual“ baseline conditions. Institutions can customize the trend lines shown in this scenario by inputting their own goals with regard to open access of their outputs in the Settings tab.</t>
  </si>
  <si>
    <t>The interactive DEAL Cost Modeling Tool gives institutions the ability to calculate their total costs with the publishers Wiley and Springer Nature and assess the financial impact of the DEAL agreements on the immediate and long-term, in a variety of cost scenarios.</t>
  </si>
  <si>
    <t>Average annual growth rate</t>
  </si>
  <si>
    <t>Data source for the graphics:</t>
  </si>
  <si>
    <t>View and print national- and state- level projections, based on the values in the Settings tab</t>
  </si>
  <si>
    <t>View and print your Institutional Projections, based on the values in the Settings tab</t>
  </si>
  <si>
    <t>The DEAL Cost Modeling Tool integrates a variety of data sets, calculations and scenarios detailed here. If you require any further clarification or assistance using the Tool, do not hesitate to contact support@mpdl-services.de.</t>
  </si>
  <si>
    <t>The projections in the present Tool are based on factual national publication trends. The table below shows the aggregated total number of articles and reviews by German corresponding authors published between 2015 and 2019 in journals covered by the DEAL agreement. To forecast annual article output for subsequent years, an average annual growth rate was calculated across the period four years prior to the agreement and projected through 2025.</t>
  </si>
  <si>
    <t>The specific growth rate of hybrid and gold OA, based on observed trends (2015-2019), is applied for each level (national, state, research group, and institution) and article category (research, non-research). As the publishing profile of institutions or groups of institutions can deviate from these trend lines, the figures presented in the projections tab are to be considered estimates.</t>
  </si>
  <si>
    <t>If article totals for previous years are known, users are encouraged to enter their own data and set the local default values in the Settings tab to obtain more accurate cost information and projections. Users are also encouraged to use the Open Access Monitor developed by Forschungszentrum Jülich to obtain institutional publishing data for previous years. Go to https://open-access-monitor.de/ and select the relative DEAL agreement in the 'Transformationsverträge' section, and use the corresponding author filter. Please note, however, that, like other bibliographic databases, the Open Access Monitor can list multiple corresponding authors or multiple affiliations for authors, resulting in articles being assigned to multiple institutions. This has a tendency to inflate the institutional figures provided.</t>
  </si>
  <si>
    <t>A final word</t>
  </si>
  <si>
    <t>While the trend line calculations take into consideration growth rates of German article output and publisher pricing data, there are, of course, additional factors that could influence trend lines, such as overall publisher portfolio growth (through mergers, establishment of new journals, etc.) or a decrease in the proportion of publisher content behind paywalls (due to the growing number of transformative agreements globally or publisher decisions to ’flip’ a portion or all of their portfolios to a fully open access business model).</t>
  </si>
  <si>
    <t>This tool is for modeling, not for claiming the truth.</t>
  </si>
  <si>
    <t>To determine the development of open access publishing costs, Journal APC list prices were collected from the Delta Think Open Access Data &amp; Analytics Tool (OADAT) and matched with the article set for the relative year. The APCs of articles in each OA category (gold and hybrid) were then summed to arrive at an estimated total OA expenditure for German corresponding author articles between 2015 and 2019. The historic growth rates were then used to project estimated expenditure in open access publishing fees through 2025. As the OADAT provides the APC list prices in USD, the conversion to EUR was based on the original conversion rate referenced in the official Springer Nature hybrid APC price list.</t>
  </si>
  <si>
    <t>To arrive at an average APC price to use in cost projections, we calculated the weighted average APC prices for German OA articles published between 2015 and 2019. In using the weighted average in the Tool, calculations and developments as shown in the table below reflect not only increases in APC price points of the relative publishers, but also takes into account the trends of German authors as they publish in journals with varying APC ranges.</t>
  </si>
  <si>
    <t>Before the current DEAL agreements, only a handful of individual or consortium agreements among the institutions in Germany had access rights to the entire journal portfolio of the respective publisher. Through the DEAL agreements full journal portfolio access rights have been extended to all participating DEAL institutions. This extensive increase in readers’ access to scholarly journal content has been reflected in an increase in content usage (article downloads) of nearly 40% for both publisher portfolios. From this difference, conclusions can be drawn as to how much reader demand for access to content was previously unmet. To close such a portfolio gap in a scenario without a DEAL contract, the tool assumes an investment requirement of 40%. This value can be changed at any time in the Settings tab. By comparing their own COUNTER statistics from the years before the DEAL agreement with usage statistics since full access was enabled, each institution can easily determine the growth in access relevant to their contexts and adjust the Settings accordingly.</t>
  </si>
  <si>
    <t>The Projections in the following tabs are generated automatically based the parameters set in the present tab and described in detail below. The Projections are offered according to different cost scenarios in order to model costs for the open access publishing services and reading access secured under the DEAL agreements under different economic conditions.</t>
  </si>
  <si>
    <t>This scenario models a trajectory of growth in open access publishing of articles with the relative publisher, from starting levels to the 70% BMBF goal, and the projected costs involved under the „business as usual“ baseline conditions.</t>
  </si>
  <si>
    <t xml:space="preserve">To generate their  Institutional Projections, Institutions need simply to input the required reference data (steps 1 and 2 below) and subsequently review, or adjust, the settings of the Projection Parameters below. </t>
  </si>
  <si>
    <t>The Tool applies the industry-standard 3% average annual subscription fee increase described in the Methodology by default. Institutions can also observe the subscription fee price increase growth rate calculated automatically in Step 2 below and adjust this Projection Parameter accordingly.</t>
  </si>
  <si>
    <t>The Tool applies the national-level subscription access gap described in the Methodology by default. Institutions can adjust the percentage of the access gap to the journal portfolio in the settings, based on their assessment of their former level of subscription access and the increase in access observed in COUNTER data.</t>
  </si>
  <si>
    <t>The Tool applies the BMBF open access target of 70% by 2025 in the relative projection scenario by default. Institutions may adjust this target percentage to customize projections to their own "open access by 2025" target when selecting the "BMBF target" scenario in the projections tab.</t>
  </si>
  <si>
    <t>Step 1 – Input the total number of articles published by authors from your institution, as documented in the DEAL publication-based invoicing process, in the relative required fields.</t>
  </si>
  <si>
    <t>To generate projections, Institutions must input the total number of articles published by their authors under the DEAL agreements for each article type: hybrid research articles, hybrid non-research articles, and Gold OA articles. These data are communicated to institutions via the DEAL Operations standard reporting and invoicing processes.</t>
  </si>
  <si>
    <t>Step 2 – Input your institution’s previous subscription fees (excluding VAT) in the relative required fields.</t>
  </si>
  <si>
    <r>
      <t xml:space="preserve">Both </t>
    </r>
    <r>
      <rPr>
        <b/>
        <sz val="11"/>
        <color rgb="FFC3171C"/>
        <rFont val="Calibri"/>
        <family val="2"/>
        <scheme val="minor"/>
      </rPr>
      <t>Group Projections</t>
    </r>
    <r>
      <rPr>
        <sz val="11"/>
        <color theme="1"/>
        <rFont val="Calibri"/>
        <family val="2"/>
        <scheme val="minor"/>
      </rPr>
      <t xml:space="preserve"> and </t>
    </r>
    <r>
      <rPr>
        <b/>
        <sz val="11"/>
        <color rgb="FFED5C2A"/>
        <rFont val="Calibri"/>
        <family val="2"/>
        <scheme val="minor"/>
      </rPr>
      <t>Institutional Projections</t>
    </r>
    <r>
      <rPr>
        <sz val="11"/>
        <color theme="1"/>
        <rFont val="Calibri"/>
        <family val="2"/>
        <scheme val="minor"/>
      </rPr>
      <t xml:space="preserve"> are based on the settings of the </t>
    </r>
    <r>
      <rPr>
        <b/>
        <sz val="11"/>
        <color theme="1"/>
        <rFont val="Calibri"/>
        <family val="2"/>
        <scheme val="minor"/>
      </rPr>
      <t>Projection Parameters</t>
    </r>
    <r>
      <rPr>
        <sz val="11"/>
        <color theme="1"/>
        <rFont val="Calibri"/>
        <family val="2"/>
        <scheme val="minor"/>
      </rPr>
      <t xml:space="preserve"> above. To produce more precise custom projections, adjust the default setting above with the annual price increase rate applied to your institution's subscription fees.</t>
    </r>
  </si>
  <si>
    <t>Step 3 – Input your institution’s publishing output (corresponding authored papers) of previous years, if actual figures are known</t>
  </si>
  <si>
    <r>
      <t xml:space="preserve">Based on the data entered in </t>
    </r>
    <r>
      <rPr>
        <b/>
        <sz val="11"/>
        <color theme="1"/>
        <rFont val="Calibri"/>
        <family val="2"/>
        <scheme val="minor"/>
      </rPr>
      <t>Step 1</t>
    </r>
    <r>
      <rPr>
        <sz val="11"/>
        <color theme="1"/>
        <rFont val="Calibri"/>
        <family val="2"/>
        <scheme val="minor"/>
      </rPr>
      <t xml:space="preserve"> (actual number of articles published in 2020) and the national growth trends described in the Methodology, your institutions' publishing output of previous years is estimated as follows:</t>
    </r>
  </si>
  <si>
    <t>If known, you may input complete data relative to actual articles published in previous years (2015-2018) in the table below. To obtain these figures, you can use the Open Access Monitor developed by Forschungszentrum Jülich. Go to https://open-access-monitor.de/ and select the relative DEAL agreement in the 'Transformationsverträge' section, and use the corresponding author filter.</t>
  </si>
  <si>
    <t>The Institutional Projections will be generated based on the table of estimated publishing in previous years unless the table of actual publishing data is complete.</t>
  </si>
  <si>
    <r>
      <rPr>
        <b/>
        <sz val="11"/>
        <color indexed="64"/>
        <rFont val="Calibri"/>
        <family val="2"/>
        <scheme val="minor"/>
      </rPr>
      <t>The second key trend line brings to light a realistic estimation of fees paid for open access publishing of articles (APCs), based on documented publishing trends.</t>
    </r>
    <r>
      <rPr>
        <sz val="11"/>
        <color indexed="64"/>
        <rFont val="Calibri"/>
        <family val="2"/>
        <scheme val="minor"/>
      </rPr>
      <t xml:space="preserve"> As the vast majority of institutions have only begun to track article output and collect APC payment data upon implementation of the DEAL agreements, the trend line builds on a combination of readily-available publishing and cost information described in the Methodology.</t>
    </r>
  </si>
  <si>
    <r>
      <rPr>
        <b/>
        <sz val="11"/>
        <color indexed="64"/>
        <rFont val="Calibri"/>
        <family val="2"/>
        <scheme val="minor"/>
      </rPr>
      <t>The third key trend line sums the total costs for subscriptions and open access publishing (APCs)</t>
    </r>
    <r>
      <rPr>
        <sz val="11"/>
        <color indexed="64"/>
        <rFont val="Calibri"/>
        <family val="2"/>
        <scheme val="minor"/>
      </rPr>
      <t>, bringing to light an estimation of the total amounts being paid to the publisher for scholarly journal publishing services under the subscription paradigm.</t>
    </r>
  </si>
  <si>
    <r>
      <rPr>
        <b/>
        <sz val="11"/>
        <color indexed="64"/>
        <rFont val="Calibri"/>
        <family val="2"/>
        <scheme val="minor"/>
      </rPr>
      <t>The fourth key trend line presents costs for open access publishing and comprehensive reading access under the DEAL agreement</t>
    </r>
    <r>
      <rPr>
        <sz val="11"/>
        <color indexed="64"/>
        <rFont val="Calibri"/>
        <family val="2"/>
        <scheme val="minor"/>
      </rPr>
      <t>, starting with the precise amounts paid under the terms of the DEAL agreement in 2020, ie Publish and Read (PAR) fees for each article published in a hybrid journal and discounted APCs for each article published in a fully OA journal, and projecting costs into the future based on national article growth trends.</t>
    </r>
  </si>
  <si>
    <t>The key trend lines that emerge in the different scenarios provide an evidence base to compare and assess the cost/benefit of the unlimited reading and open access publishing enabled with the DEAL agreements.</t>
  </si>
  <si>
    <t>No</t>
  </si>
  <si>
    <t>G</t>
  </si>
  <si>
    <t>H</t>
  </si>
  <si>
    <t>Est 2019</t>
  </si>
  <si>
    <t>Step 3 2019</t>
  </si>
  <si>
    <t>Difference</t>
  </si>
  <si>
    <t>Correction</t>
  </si>
  <si>
    <t>For hybrid (research articles): 91,38% (9354/10236) of the total number of hybrid articles multiplied by the 2750€ PAR fee</t>
  </si>
  <si>
    <t>For hybrid (non-research articles, such as Editorial Notes, Book Reviews, Letters, Reports): 8,62% (882/10236) of the total number of hybrid articles multiplied by the 917€ PAR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</si>
</sst>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0000"/>
    <numFmt numFmtId="165" formatCode="0.0%"/>
    <numFmt numFmtId="166" formatCode="#,##0\ &quot;€&quot;"/>
    <numFmt numFmtId="167" formatCode="_-* #,##0.00\ [$€-407]_-;\-* #,##0.00\ [$€-407]_-;_-* &quot;-&quot;??\ [$€-407]_-;_-@_-"/>
    <numFmt numFmtId="168" formatCode="0.00000"/>
    <numFmt numFmtId="169" formatCode="_-* #,##0_-;\-* #,##0_-;_-* &quot;-&quot;??_-;_-@_-"/>
  </numFmts>
  <fonts count="47"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color theme="1"/>
      <name val="Calibri"/>
      <family val="2"/>
      <scheme val="minor"/>
    </font>
    <font>
      <u/>
      <sz val="11"/>
      <color theme="10"/>
      <name val="Calibri"/>
      <family val="2"/>
      <scheme val="minor"/>
    </font>
    <font>
      <b/>
      <sz val="10"/>
      <color rgb="FF1F497D"/>
      <name val="Calibri Light"/>
      <family val="2"/>
      <scheme val="major"/>
    </font>
    <font>
      <sz val="11"/>
      <color indexed="64"/>
      <name val="Calibri"/>
      <family val="2"/>
    </font>
    <font>
      <sz val="8"/>
      <color theme="1"/>
      <name val="Calibri"/>
      <family val="2"/>
      <scheme val="minor"/>
    </font>
    <font>
      <b/>
      <sz val="16"/>
      <color theme="1"/>
      <name val="Calibri"/>
      <family val="2"/>
      <scheme val="minor"/>
    </font>
    <font>
      <b/>
      <sz val="16"/>
      <color rgb="FFC00000"/>
      <name val="Calibri"/>
      <family val="2"/>
      <scheme val="minor"/>
    </font>
    <font>
      <b/>
      <i/>
      <sz val="14"/>
      <color theme="1"/>
      <name val="Calibri"/>
      <family val="2"/>
      <scheme val="minor"/>
    </font>
    <font>
      <i/>
      <sz val="11"/>
      <color indexed="64"/>
      <name val="Calibri"/>
      <family val="2"/>
      <scheme val="minor"/>
    </font>
    <font>
      <b/>
      <sz val="11"/>
      <color theme="1"/>
      <name val="Calibri"/>
      <family val="2"/>
      <scheme val="minor"/>
    </font>
    <font>
      <sz val="11"/>
      <color indexed="64"/>
      <name val="Calibri"/>
      <family val="2"/>
      <scheme val="minor"/>
    </font>
    <font>
      <u/>
      <sz val="11"/>
      <color theme="0"/>
      <name val="Calibri"/>
      <family val="2"/>
      <scheme val="minor"/>
    </font>
    <font>
      <b/>
      <u/>
      <sz val="12"/>
      <color theme="1"/>
      <name val="Calibri"/>
      <family val="2"/>
      <scheme val="minor"/>
    </font>
    <font>
      <b/>
      <sz val="11"/>
      <color theme="0"/>
      <name val="Calibri"/>
      <family val="2"/>
      <scheme val="minor"/>
    </font>
    <font>
      <b/>
      <sz val="11"/>
      <color theme="0"/>
      <name val="Calibri"/>
      <family val="2"/>
    </font>
    <font>
      <sz val="11"/>
      <name val="Calibri"/>
      <family val="2"/>
      <scheme val="minor"/>
    </font>
    <font>
      <sz val="11"/>
      <color theme="0"/>
      <name val="Calibri"/>
      <family val="2"/>
      <scheme val="minor"/>
    </font>
    <font>
      <b/>
      <sz val="12"/>
      <color theme="0"/>
      <name val="Calibri"/>
      <family val="2"/>
      <scheme val="minor"/>
    </font>
    <font>
      <b/>
      <sz val="11"/>
      <color indexed="64"/>
      <name val="Calibri"/>
      <family val="2"/>
      <scheme val="minor"/>
    </font>
    <font>
      <sz val="11"/>
      <color theme="0" tint="-0.34998626667073579"/>
      <name val="Calibri"/>
      <family val="2"/>
      <scheme val="minor"/>
    </font>
    <font>
      <sz val="12"/>
      <color theme="0" tint="-0.14999847407452621"/>
      <name val="Calibri"/>
      <family val="2"/>
      <scheme val="minor"/>
    </font>
    <font>
      <b/>
      <sz val="16"/>
      <color theme="0"/>
      <name val="Calibri"/>
      <family val="2"/>
      <scheme val="minor"/>
    </font>
    <font>
      <b/>
      <sz val="11"/>
      <color rgb="FF41AECB"/>
      <name val="Calibri"/>
      <family val="2"/>
      <scheme val="minor"/>
    </font>
    <font>
      <b/>
      <sz val="11"/>
      <color rgb="FFED5C2A"/>
      <name val="Calibri"/>
      <family val="2"/>
      <scheme val="minor"/>
    </font>
    <font>
      <b/>
      <sz val="11"/>
      <color rgb="FF444342"/>
      <name val="Calibri"/>
      <family val="2"/>
      <scheme val="minor"/>
    </font>
    <font>
      <b/>
      <sz val="11"/>
      <color rgb="FFC3171C"/>
      <name val="Calibri"/>
      <family val="2"/>
      <scheme val="minor"/>
    </font>
    <font>
      <b/>
      <sz val="11"/>
      <color theme="1"/>
      <name val="Calibri"/>
      <family val="2"/>
    </font>
    <font>
      <b/>
      <sz val="11"/>
      <color indexed="64"/>
      <name val="Calibri"/>
      <family val="2"/>
    </font>
    <font>
      <b/>
      <sz val="12"/>
      <color theme="1"/>
      <name val="Calibri"/>
      <family val="2"/>
      <scheme val="minor"/>
    </font>
    <font>
      <sz val="11"/>
      <color theme="1"/>
      <name val="Calibri"/>
      <family val="2"/>
    </font>
    <font>
      <b/>
      <sz val="9"/>
      <name val="Calibri"/>
      <family val="2"/>
    </font>
    <font>
      <sz val="11"/>
      <color theme="1"/>
      <name val="Calibri"/>
      <family val="2"/>
      <scheme val="minor"/>
    </font>
    <font>
      <b/>
      <sz val="11"/>
      <color theme="1"/>
      <name val="Calibri"/>
      <family val="2"/>
      <scheme val="minor"/>
    </font>
    <font>
      <b/>
      <sz val="14"/>
      <color rgb="FFC3171C"/>
      <name val="Calibri"/>
      <family val="2"/>
      <scheme val="minor"/>
    </font>
    <font>
      <b/>
      <u/>
      <sz val="12"/>
      <color theme="1"/>
      <name val="Calibri"/>
      <family val="2"/>
      <scheme val="minor"/>
    </font>
    <font>
      <b/>
      <sz val="12"/>
      <color theme="0"/>
      <name val="Calibri"/>
      <family val="2"/>
      <scheme val="minor"/>
    </font>
    <font>
      <sz val="11"/>
      <name val="Calibri"/>
      <family val="2"/>
      <scheme val="minor"/>
    </font>
    <font>
      <sz val="11"/>
      <color theme="0"/>
      <name val="Calibri"/>
      <family val="2"/>
      <scheme val="minor"/>
    </font>
    <font>
      <b/>
      <sz val="11"/>
      <color theme="0"/>
      <name val="Calibri"/>
      <family val="2"/>
    </font>
    <font>
      <b/>
      <u/>
      <sz val="11"/>
      <color theme="1"/>
      <name val="Calibri"/>
      <family val="2"/>
      <scheme val="minor"/>
    </font>
    <font>
      <i/>
      <sz val="9"/>
      <color theme="1"/>
      <name val="Calibri"/>
      <family val="2"/>
      <scheme val="minor"/>
    </font>
  </fonts>
  <fills count="12">
    <fill>
      <patternFill patternType="none"/>
    </fill>
    <fill>
      <patternFill patternType="gray125"/>
    </fill>
    <fill>
      <patternFill patternType="solid">
        <fgColor rgb="FF444342"/>
        <bgColor indexed="64"/>
      </patternFill>
    </fill>
    <fill>
      <patternFill patternType="solid">
        <fgColor rgb="FF41AECB"/>
        <bgColor indexed="64"/>
      </patternFill>
    </fill>
    <fill>
      <patternFill patternType="solid">
        <fgColor rgb="FFC3171C"/>
        <bgColor indexed="64"/>
      </patternFill>
    </fill>
    <fill>
      <patternFill patternType="solid">
        <fgColor rgb="FFED5C2A"/>
        <bgColor indexed="64"/>
      </patternFill>
    </fill>
    <fill>
      <patternFill patternType="solid">
        <fgColor rgb="FFCBE8F0"/>
        <bgColor indexed="64"/>
      </patternFill>
    </fill>
    <fill>
      <patternFill patternType="solid">
        <fgColor rgb="FFFAFAFA"/>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indexed="5"/>
        <bgColor indexed="64"/>
      </patternFill>
    </fill>
    <fill>
      <patternFill patternType="darkUp">
        <fgColor theme="2"/>
        <bgColor theme="6"/>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A7A9AF"/>
      </left>
      <right style="thin">
        <color rgb="FFA7A9AF"/>
      </right>
      <top style="thin">
        <color rgb="FFA7A9AF"/>
      </top>
      <bottom style="thin">
        <color rgb="FFA7A9AF"/>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8">
    <xf numFmtId="0" fontId="0" fillId="0" borderId="0"/>
    <xf numFmtId="49" fontId="6" fillId="0" borderId="1" applyFill="0"/>
    <xf numFmtId="43" fontId="37" fillId="0" borderId="0" applyFont="0" applyFill="0" applyBorder="0"/>
    <xf numFmtId="0" fontId="7" fillId="0" borderId="0" applyNumberFormat="0" applyFill="0" applyBorder="0"/>
    <xf numFmtId="0" fontId="8" fillId="0" borderId="0" applyBorder="0"/>
    <xf numFmtId="9" fontId="37" fillId="0" borderId="0" applyFont="0" applyFill="0" applyBorder="0"/>
    <xf numFmtId="0" fontId="9" fillId="0" borderId="0"/>
    <xf numFmtId="3" fontId="10" fillId="0" borderId="0" applyBorder="0"/>
  </cellStyleXfs>
  <cellXfs count="177">
    <xf numFmtId="0" fontId="0" fillId="0" borderId="0" xfId="0"/>
    <xf numFmtId="0" fontId="0" fillId="0" borderId="0" xfId="0"/>
    <xf numFmtId="0" fontId="11" fillId="0" borderId="0" xfId="0" applyFont="1"/>
    <xf numFmtId="0" fontId="12" fillId="0" borderId="0" xfId="0" applyFont="1"/>
    <xf numFmtId="0" fontId="13" fillId="0" borderId="0" xfId="0" applyFont="1"/>
    <xf numFmtId="14" fontId="0" fillId="0" borderId="0" xfId="0" applyNumberFormat="1" applyAlignment="1">
      <alignment horizontal="left"/>
    </xf>
    <xf numFmtId="0" fontId="14" fillId="0" borderId="0" xfId="0" applyFont="1" applyAlignment="1">
      <alignment vertical="center" wrapText="1"/>
    </xf>
    <xf numFmtId="0" fontId="15" fillId="0" borderId="0" xfId="0" applyFont="1"/>
    <xf numFmtId="0" fontId="16" fillId="0" borderId="0" xfId="0" applyFont="1" applyAlignment="1">
      <alignment horizontal="left" vertical="center" wrapText="1"/>
    </xf>
    <xf numFmtId="0" fontId="0" fillId="0" borderId="0" xfId="0" applyAlignment="1">
      <alignment horizontal="left" wrapText="1" indent="2"/>
    </xf>
    <xf numFmtId="0" fontId="19" fillId="3" borderId="2" xfId="0" applyFont="1" applyFill="1" applyBorder="1" applyAlignment="1">
      <alignment vertical="center"/>
    </xf>
    <xf numFmtId="0" fontId="0" fillId="6" borderId="2" xfId="0" applyFill="1" applyBorder="1" applyAlignment="1">
      <alignment vertical="center"/>
    </xf>
    <xf numFmtId="165" fontId="20" fillId="3" borderId="2" xfId="5" applyNumberFormat="1" applyFont="1" applyFill="1" applyBorder="1" applyAlignment="1">
      <alignment vertical="center"/>
    </xf>
    <xf numFmtId="0" fontId="21" fillId="6" borderId="2" xfId="0" applyFont="1" applyFill="1" applyBorder="1" applyAlignment="1">
      <alignment vertical="center"/>
    </xf>
    <xf numFmtId="165" fontId="0" fillId="6" borderId="2" xfId="5" applyNumberFormat="1" applyFont="1" applyFill="1" applyBorder="1" applyAlignment="1">
      <alignment vertical="center"/>
    </xf>
    <xf numFmtId="165" fontId="21" fillId="6" borderId="2" xfId="5" applyNumberFormat="1" applyFont="1" applyFill="1" applyBorder="1" applyAlignment="1">
      <alignment vertical="center"/>
    </xf>
    <xf numFmtId="166" fontId="0" fillId="6" borderId="2" xfId="0" applyNumberFormat="1" applyFill="1" applyBorder="1" applyAlignment="1">
      <alignment vertical="center"/>
    </xf>
    <xf numFmtId="0" fontId="19" fillId="4" borderId="2" xfId="0" applyFont="1" applyFill="1" applyBorder="1" applyAlignment="1">
      <alignment vertical="center"/>
    </xf>
    <xf numFmtId="0" fontId="22" fillId="5" borderId="2" xfId="0" applyFont="1" applyFill="1" applyBorder="1" applyAlignment="1">
      <alignment vertical="center"/>
    </xf>
    <xf numFmtId="166" fontId="22" fillId="5" borderId="2" xfId="0" applyNumberFormat="1" applyFont="1" applyFill="1" applyBorder="1" applyAlignment="1">
      <alignment vertical="center"/>
    </xf>
    <xf numFmtId="0" fontId="19" fillId="4" borderId="0" xfId="0" applyFont="1" applyFill="1" applyAlignment="1">
      <alignment vertical="center"/>
    </xf>
    <xf numFmtId="166" fontId="19" fillId="5" borderId="2" xfId="0" applyNumberFormat="1" applyFont="1" applyFill="1" applyBorder="1" applyAlignment="1">
      <alignment vertical="center"/>
    </xf>
    <xf numFmtId="165" fontId="22" fillId="5" borderId="2" xfId="5" applyNumberFormat="1" applyFont="1" applyFill="1" applyBorder="1" applyAlignment="1">
      <alignment vertical="center"/>
    </xf>
    <xf numFmtId="0" fontId="0" fillId="0" borderId="0" xfId="0" applyAlignment="1">
      <alignment vertical="center"/>
    </xf>
    <xf numFmtId="0" fontId="23" fillId="4" borderId="2" xfId="0" applyFont="1" applyFill="1" applyBorder="1" applyAlignment="1">
      <alignment vertical="center"/>
    </xf>
    <xf numFmtId="0" fontId="23" fillId="3" borderId="2" xfId="0" applyFont="1" applyFill="1" applyBorder="1" applyAlignment="1">
      <alignment horizontal="center" vertical="center"/>
    </xf>
    <xf numFmtId="0" fontId="23" fillId="3" borderId="2" xfId="0" applyFont="1" applyFill="1" applyBorder="1" applyAlignment="1">
      <alignment vertical="center"/>
    </xf>
    <xf numFmtId="0" fontId="25" fillId="6" borderId="2" xfId="0" applyFont="1" applyFill="1" applyBorder="1" applyAlignment="1">
      <alignment horizontal="center" vertical="center"/>
    </xf>
    <xf numFmtId="0" fontId="27" fillId="5" borderId="2" xfId="0" applyFont="1" applyFill="1" applyBorder="1" applyAlignment="1">
      <alignment horizontal="center" vertical="center"/>
    </xf>
    <xf numFmtId="0" fontId="0" fillId="6" borderId="8" xfId="0" applyFill="1" applyBorder="1"/>
    <xf numFmtId="0" fontId="15" fillId="0" borderId="8" xfId="0" applyFont="1" applyBorder="1"/>
    <xf numFmtId="0" fontId="0" fillId="0" borderId="8" xfId="0" applyBorder="1"/>
    <xf numFmtId="0" fontId="28" fillId="6" borderId="8" xfId="0" applyFont="1" applyFill="1" applyBorder="1" applyAlignment="1">
      <alignment horizontal="center" vertical="center"/>
    </xf>
    <xf numFmtId="0" fontId="29" fillId="6" borderId="8" xfId="0" applyFont="1" applyFill="1" applyBorder="1" applyAlignment="1">
      <alignment horizontal="center" vertical="center"/>
    </xf>
    <xf numFmtId="0" fontId="30" fillId="6" borderId="8" xfId="0" applyFont="1" applyFill="1" applyBorder="1" applyAlignment="1">
      <alignment horizontal="center" vertical="center"/>
    </xf>
    <xf numFmtId="0" fontId="31" fillId="6" borderId="8" xfId="0" applyFont="1" applyFill="1" applyBorder="1" applyAlignment="1">
      <alignment horizontal="center" vertical="center"/>
    </xf>
    <xf numFmtId="165" fontId="32" fillId="0" borderId="0" xfId="5" applyNumberFormat="1" applyFont="1"/>
    <xf numFmtId="0" fontId="33" fillId="0" borderId="0" xfId="0" applyFont="1"/>
    <xf numFmtId="164" fontId="32" fillId="0" borderId="0" xfId="0" applyNumberFormat="1" applyFont="1"/>
    <xf numFmtId="166" fontId="0" fillId="0" borderId="0" xfId="0" applyNumberFormat="1"/>
    <xf numFmtId="0" fontId="15" fillId="6" borderId="2" xfId="0" applyFont="1" applyFill="1" applyBorder="1" applyAlignment="1">
      <alignment horizontal="center"/>
    </xf>
    <xf numFmtId="0" fontId="15" fillId="6" borderId="2" xfId="0" applyFont="1" applyFill="1" applyBorder="1" applyAlignment="1">
      <alignment horizontal="center" vertical="center"/>
    </xf>
    <xf numFmtId="0" fontId="15" fillId="0" borderId="2" xfId="0" applyFont="1" applyBorder="1"/>
    <xf numFmtId="1" fontId="0" fillId="0" borderId="2" xfId="0" applyNumberFormat="1" applyBorder="1"/>
    <xf numFmtId="0" fontId="0" fillId="0" borderId="2" xfId="0" applyBorder="1"/>
    <xf numFmtId="0" fontId="15" fillId="8" borderId="9" xfId="0" applyFont="1" applyFill="1" applyBorder="1" applyAlignment="1">
      <alignment horizontal="center"/>
    </xf>
    <xf numFmtId="0" fontId="15" fillId="8" borderId="10" xfId="0" applyFont="1" applyFill="1" applyBorder="1" applyAlignment="1">
      <alignment horizontal="center"/>
    </xf>
    <xf numFmtId="0" fontId="15" fillId="8" borderId="11" xfId="0" applyFont="1" applyFill="1" applyBorder="1" applyAlignment="1">
      <alignment horizontal="center"/>
    </xf>
    <xf numFmtId="0" fontId="15" fillId="0" borderId="2" xfId="0" applyFont="1" applyBorder="1" applyAlignment="1">
      <alignment horizontal="center" vertical="center"/>
    </xf>
    <xf numFmtId="164" fontId="32" fillId="0" borderId="2" xfId="0" applyNumberFormat="1" applyFont="1" applyBorder="1" applyAlignment="1">
      <alignment horizontal="center"/>
    </xf>
    <xf numFmtId="0" fontId="0" fillId="8" borderId="12" xfId="0" applyFill="1" applyBorder="1" applyAlignment="1">
      <alignment horizontal="right"/>
    </xf>
    <xf numFmtId="166" fontId="0" fillId="8" borderId="13" xfId="0" applyNumberFormat="1" applyFill="1" applyBorder="1"/>
    <xf numFmtId="166" fontId="0" fillId="8" borderId="14" xfId="0" applyNumberFormat="1" applyFill="1" applyBorder="1"/>
    <xf numFmtId="165" fontId="32" fillId="0" borderId="2" xfId="5" applyNumberFormat="1" applyFont="1" applyBorder="1"/>
    <xf numFmtId="0" fontId="0" fillId="8" borderId="15" xfId="0" applyFill="1" applyBorder="1" applyAlignment="1">
      <alignment horizontal="right"/>
    </xf>
    <xf numFmtId="166" fontId="0" fillId="8" borderId="6" xfId="0" applyNumberFormat="1" applyFill="1" applyBorder="1"/>
    <xf numFmtId="166" fontId="0" fillId="8" borderId="16" xfId="0" applyNumberFormat="1" applyFill="1" applyBorder="1"/>
    <xf numFmtId="9" fontId="15" fillId="0" borderId="2" xfId="5" applyNumberFormat="1" applyFont="1" applyBorder="1"/>
    <xf numFmtId="0" fontId="0" fillId="8" borderId="17" xfId="0" applyFill="1" applyBorder="1" applyAlignment="1">
      <alignment horizontal="right"/>
    </xf>
    <xf numFmtId="166" fontId="0" fillId="8" borderId="18" xfId="0" applyNumberFormat="1" applyFill="1" applyBorder="1"/>
    <xf numFmtId="166" fontId="0" fillId="8" borderId="19" xfId="0" applyNumberFormat="1" applyFill="1" applyBorder="1"/>
    <xf numFmtId="166" fontId="0" fillId="0" borderId="2" xfId="0" applyNumberFormat="1" applyBorder="1"/>
    <xf numFmtId="166" fontId="15" fillId="0" borderId="2" xfId="0" applyNumberFormat="1" applyFont="1" applyBorder="1"/>
    <xf numFmtId="1" fontId="0" fillId="9" borderId="0" xfId="0" applyNumberFormat="1" applyFill="1"/>
    <xf numFmtId="1" fontId="0" fillId="0" borderId="0" xfId="0" applyNumberFormat="1"/>
    <xf numFmtId="0" fontId="0" fillId="9" borderId="0" xfId="0" applyFill="1"/>
    <xf numFmtId="167" fontId="0" fillId="0" borderId="0" xfId="0" applyNumberFormat="1"/>
    <xf numFmtId="165" fontId="0" fillId="0" borderId="0" xfId="5" applyNumberFormat="1" applyFont="1"/>
    <xf numFmtId="9" fontId="0" fillId="0" borderId="0" xfId="5" applyNumberFormat="1" applyFont="1"/>
    <xf numFmtId="165" fontId="0" fillId="0" borderId="0" xfId="0" applyNumberFormat="1"/>
    <xf numFmtId="168" fontId="0" fillId="0" borderId="0" xfId="0" applyNumberFormat="1"/>
    <xf numFmtId="166" fontId="35" fillId="0" borderId="0" xfId="0" applyNumberFormat="1" applyFont="1"/>
    <xf numFmtId="9" fontId="0" fillId="0" borderId="0" xfId="0" applyNumberFormat="1"/>
    <xf numFmtId="169" fontId="0" fillId="0" borderId="0" xfId="2" applyNumberFormat="1" applyFont="1"/>
    <xf numFmtId="165" fontId="32" fillId="0" borderId="12" xfId="5" applyNumberFormat="1" applyFont="1" applyBorder="1"/>
    <xf numFmtId="165" fontId="32" fillId="0" borderId="19" xfId="5" applyNumberFormat="1" applyFont="1" applyBorder="1"/>
    <xf numFmtId="0" fontId="0" fillId="10" borderId="0" xfId="0" applyFill="1" applyAlignment="1">
      <alignment vertical="center"/>
    </xf>
    <xf numFmtId="0" fontId="0" fillId="10" borderId="0" xfId="0" applyFill="1"/>
    <xf numFmtId="0" fontId="36" fillId="0" borderId="0" xfId="0" applyFont="1" applyAlignment="1">
      <alignment horizontal="center"/>
    </xf>
    <xf numFmtId="0" fontId="23" fillId="5" borderId="2" xfId="0" applyFont="1" applyFill="1" applyBorder="1" applyAlignment="1">
      <alignment vertical="center"/>
    </xf>
    <xf numFmtId="0" fontId="39" fillId="0" borderId="0" xfId="0" applyFont="1" applyAlignment="1">
      <alignment horizontal="center"/>
    </xf>
    <xf numFmtId="0" fontId="41" fillId="3" borderId="2" xfId="0" applyFont="1" applyFill="1" applyBorder="1" applyAlignment="1">
      <alignment horizontal="center" vertical="center" wrapText="1"/>
    </xf>
    <xf numFmtId="0" fontId="41" fillId="3" borderId="2" xfId="0" applyFont="1" applyFill="1" applyBorder="1" applyAlignment="1">
      <alignment vertical="center"/>
    </xf>
    <xf numFmtId="0" fontId="0" fillId="0" borderId="0" xfId="0" applyAlignment="1">
      <alignment horizontal="left"/>
    </xf>
    <xf numFmtId="0" fontId="23" fillId="3" borderId="4" xfId="0" applyFont="1" applyFill="1" applyBorder="1" applyAlignment="1">
      <alignment vertical="center"/>
    </xf>
    <xf numFmtId="0" fontId="43" fillId="0" borderId="0" xfId="0" applyFont="1" applyFill="1" applyBorder="1" applyAlignment="1" applyProtection="1">
      <alignment horizontal="center" vertical="center"/>
      <protection locked="0"/>
    </xf>
    <xf numFmtId="0" fontId="17" fillId="2" borderId="0" xfId="3" applyFont="1" applyFill="1" applyAlignment="1" applyProtection="1">
      <alignment horizontal="center" vertical="center"/>
      <protection locked="0"/>
    </xf>
    <xf numFmtId="0" fontId="17" fillId="3" borderId="0" xfId="3" applyFont="1" applyFill="1" applyAlignment="1" applyProtection="1">
      <alignment horizontal="center" vertical="center"/>
      <protection locked="0"/>
    </xf>
    <xf numFmtId="0" fontId="17" fillId="4" borderId="0" xfId="3" applyFont="1" applyFill="1" applyAlignment="1" applyProtection="1">
      <alignment horizontal="center" vertical="center"/>
      <protection locked="0"/>
    </xf>
    <xf numFmtId="0" fontId="17" fillId="5" borderId="0" xfId="3" applyFont="1" applyFill="1" applyAlignment="1" applyProtection="1">
      <alignment horizontal="center" vertical="center"/>
      <protection locked="0"/>
    </xf>
    <xf numFmtId="165" fontId="24" fillId="7" borderId="2" xfId="5" applyNumberFormat="1" applyFont="1" applyFill="1" applyBorder="1" applyAlignment="1" applyProtection="1">
      <alignment horizontal="center" vertical="center"/>
      <protection locked="0"/>
    </xf>
    <xf numFmtId="0" fontId="15" fillId="7" borderId="8" xfId="0" applyFont="1" applyFill="1" applyBorder="1" applyProtection="1">
      <protection locked="0"/>
    </xf>
    <xf numFmtId="0" fontId="23" fillId="3" borderId="2" xfId="0" applyFont="1" applyFill="1" applyBorder="1" applyAlignment="1">
      <alignment horizontal="center" vertical="center" wrapText="1"/>
    </xf>
    <xf numFmtId="0" fontId="46" fillId="0" borderId="0" xfId="0" applyFont="1"/>
    <xf numFmtId="0" fontId="0" fillId="0" borderId="0" xfId="0" applyAlignment="1">
      <alignment horizontal="left" vertical="center" wrapText="1"/>
    </xf>
    <xf numFmtId="0" fontId="4" fillId="0" borderId="0" xfId="0" applyFont="1" applyAlignment="1">
      <alignment horizontal="left" vertical="center" wrapText="1"/>
    </xf>
    <xf numFmtId="0" fontId="19" fillId="3" borderId="2" xfId="0" applyFont="1" applyFill="1" applyBorder="1" applyAlignment="1">
      <alignment horizontal="center" vertical="center"/>
    </xf>
    <xf numFmtId="0" fontId="0" fillId="0" borderId="0" xfId="0" applyAlignment="1">
      <alignment horizontal="left" vertical="center"/>
    </xf>
    <xf numFmtId="0" fontId="19" fillId="4" borderId="2" xfId="0" applyFont="1" applyFill="1" applyBorder="1" applyAlignment="1">
      <alignment horizontal="center" vertical="center"/>
    </xf>
    <xf numFmtId="0" fontId="19" fillId="3" borderId="2" xfId="0" applyFont="1" applyFill="1" applyBorder="1" applyAlignment="1">
      <alignment horizontal="center" vertical="center"/>
    </xf>
    <xf numFmtId="0" fontId="15"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14" fontId="0" fillId="0" borderId="0" xfId="0" applyNumberFormat="1" applyAlignment="1">
      <alignment horizontal="left" vertical="center"/>
    </xf>
    <xf numFmtId="166" fontId="0" fillId="0" borderId="0" xfId="0" applyNumberFormat="1" applyAlignment="1">
      <alignment horizontal="left" vertical="center"/>
    </xf>
    <xf numFmtId="0" fontId="45" fillId="0" borderId="0" xfId="0" applyFont="1" applyAlignment="1">
      <alignment vertical="center"/>
    </xf>
    <xf numFmtId="165" fontId="23" fillId="3" borderId="2" xfId="5" applyNumberFormat="1" applyFont="1" applyFill="1" applyBorder="1" applyAlignment="1">
      <alignment horizontal="center" vertical="center"/>
    </xf>
    <xf numFmtId="165" fontId="26" fillId="3" borderId="2" xfId="5" applyNumberFormat="1" applyFont="1" applyFill="1" applyBorder="1" applyAlignment="1">
      <alignment horizontal="center" vertical="center"/>
    </xf>
    <xf numFmtId="0" fontId="16" fillId="6" borderId="8" xfId="0" applyFont="1" applyFill="1" applyBorder="1" applyAlignment="1">
      <alignment vertical="center" wrapText="1"/>
    </xf>
    <xf numFmtId="0" fontId="24" fillId="11" borderId="8" xfId="0" applyFont="1" applyFill="1" applyBorder="1" applyAlignment="1">
      <alignment vertical="center" wrapText="1"/>
    </xf>
    <xf numFmtId="0" fontId="25" fillId="7" borderId="2" xfId="0" applyFont="1" applyFill="1" applyBorder="1" applyAlignment="1" applyProtection="1">
      <alignment horizontal="center" vertical="center"/>
      <protection locked="0"/>
    </xf>
    <xf numFmtId="166" fontId="25" fillId="7" borderId="2" xfId="0" applyNumberFormat="1" applyFont="1" applyFill="1" applyBorder="1" applyAlignment="1" applyProtection="1">
      <alignment horizontal="center" vertical="center"/>
      <protection locked="0"/>
    </xf>
    <xf numFmtId="0" fontId="15" fillId="7" borderId="8" xfId="0" applyFont="1" applyFill="1" applyBorder="1" applyProtection="1"/>
    <xf numFmtId="9" fontId="0" fillId="0" borderId="0" xfId="5" applyFont="1"/>
    <xf numFmtId="0" fontId="0" fillId="0" borderId="0" xfId="0" applyProtection="1">
      <protection locked="0"/>
    </xf>
    <xf numFmtId="0" fontId="14" fillId="0" borderId="0" xfId="0" applyFont="1" applyAlignment="1">
      <alignment horizontal="left" vertical="center" wrapText="1"/>
    </xf>
    <xf numFmtId="0" fontId="16"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wrapText="1" indent="2"/>
    </xf>
    <xf numFmtId="0" fontId="5" fillId="0" borderId="0" xfId="0" applyFont="1" applyAlignment="1">
      <alignment horizontal="left" vertical="center" wrapText="1" indent="2"/>
    </xf>
    <xf numFmtId="0" fontId="18" fillId="0" borderId="0" xfId="0" applyFont="1" applyAlignment="1">
      <alignment horizontal="left" vertical="center" wrapText="1"/>
    </xf>
    <xf numFmtId="0" fontId="15" fillId="0" borderId="0" xfId="0" applyFont="1" applyAlignment="1">
      <alignment horizontal="left" vertical="center" wrapText="1"/>
    </xf>
    <xf numFmtId="0" fontId="19" fillId="3" borderId="2" xfId="0" applyFont="1" applyFill="1" applyBorder="1" applyAlignment="1">
      <alignment horizontal="center" vertical="center"/>
    </xf>
    <xf numFmtId="164" fontId="44" fillId="3" borderId="2" xfId="0" applyNumberFormat="1" applyFont="1" applyFill="1" applyBorder="1" applyAlignment="1">
      <alignment horizontal="center" vertical="center" wrapText="1"/>
    </xf>
    <xf numFmtId="164" fontId="20" fillId="3" borderId="2" xfId="0" applyNumberFormat="1"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38" fillId="0" borderId="0" xfId="0" applyFont="1" applyAlignment="1">
      <alignment horizontal="left" vertical="center"/>
    </xf>
    <xf numFmtId="0" fontId="15" fillId="0" borderId="0" xfId="0" applyFont="1" applyAlignment="1">
      <alignment horizontal="left" vertical="center"/>
    </xf>
    <xf numFmtId="0" fontId="19" fillId="4" borderId="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19" fillId="3" borderId="2" xfId="0" applyFont="1" applyFill="1"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9" fillId="3" borderId="4" xfId="0" applyFont="1" applyFill="1" applyBorder="1" applyAlignment="1">
      <alignment horizontal="left" vertical="center"/>
    </xf>
    <xf numFmtId="0" fontId="19" fillId="3" borderId="6" xfId="0" applyFont="1" applyFill="1" applyBorder="1" applyAlignment="1">
      <alignment horizontal="left" vertical="center"/>
    </xf>
    <xf numFmtId="0" fontId="0" fillId="0" borderId="2" xfId="0" applyBorder="1" applyAlignment="1">
      <alignment horizontal="center" vertical="center"/>
    </xf>
    <xf numFmtId="0" fontId="19" fillId="4" borderId="2" xfId="0" applyFont="1" applyFill="1" applyBorder="1" applyAlignment="1">
      <alignment horizontal="center" vertical="center"/>
    </xf>
    <xf numFmtId="0" fontId="21" fillId="6" borderId="21"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1" fillId="6" borderId="23" xfId="0" applyFont="1" applyFill="1" applyBorder="1" applyAlignment="1">
      <alignment horizontal="left" vertical="center" wrapText="1"/>
    </xf>
    <xf numFmtId="0" fontId="21" fillId="6" borderId="20"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4" xfId="0" applyFont="1" applyFill="1" applyBorder="1" applyAlignment="1">
      <alignment horizontal="left" vertical="center" wrapText="1"/>
    </xf>
    <xf numFmtId="0" fontId="21" fillId="6" borderId="25" xfId="0" applyFont="1" applyFill="1" applyBorder="1" applyAlignment="1">
      <alignment horizontal="left" vertical="center" wrapText="1"/>
    </xf>
    <xf numFmtId="0" fontId="21" fillId="6" borderId="1" xfId="0" applyFont="1" applyFill="1" applyBorder="1" applyAlignment="1">
      <alignment horizontal="left" vertical="center" wrapText="1"/>
    </xf>
    <xf numFmtId="0" fontId="21" fillId="6" borderId="13" xfId="0" applyFont="1" applyFill="1" applyBorder="1" applyAlignment="1">
      <alignment horizontal="left" vertical="center" wrapText="1"/>
    </xf>
    <xf numFmtId="0" fontId="21" fillId="6" borderId="4" xfId="0" applyFont="1" applyFill="1" applyBorder="1" applyAlignment="1">
      <alignment horizontal="left" vertical="center" wrapText="1"/>
    </xf>
    <xf numFmtId="0" fontId="21" fillId="6" borderId="5" xfId="0" applyFont="1" applyFill="1" applyBorder="1" applyAlignment="1">
      <alignment horizontal="left" vertical="center" wrapText="1"/>
    </xf>
    <xf numFmtId="0" fontId="21" fillId="6" borderId="6" xfId="0" applyFont="1" applyFill="1" applyBorder="1" applyAlignment="1">
      <alignment horizontal="left" vertical="center" wrapText="1"/>
    </xf>
    <xf numFmtId="0" fontId="40" fillId="0" borderId="0" xfId="0" applyFont="1" applyAlignment="1">
      <alignment horizontal="left" vertical="center" wrapText="1"/>
    </xf>
    <xf numFmtId="0" fontId="38" fillId="0" borderId="0" xfId="0" applyFont="1" applyAlignment="1">
      <alignment horizontal="left" vertical="center" wrapText="1"/>
    </xf>
    <xf numFmtId="0" fontId="5" fillId="0" borderId="0" xfId="0" applyFont="1" applyAlignment="1">
      <alignment horizontal="left" vertical="center" wrapText="1"/>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5" xfId="0" applyFont="1" applyFill="1" applyBorder="1" applyAlignment="1">
      <alignment horizontal="center" vertical="center"/>
    </xf>
    <xf numFmtId="0" fontId="21" fillId="6" borderId="2" xfId="0" applyFont="1" applyFill="1" applyBorder="1" applyAlignment="1">
      <alignment horizontal="left" vertical="center" wrapText="1"/>
    </xf>
    <xf numFmtId="0" fontId="42" fillId="6" borderId="2" xfId="0" applyFont="1" applyFill="1" applyBorder="1" applyAlignment="1">
      <alignment horizontal="left" vertical="center" wrapText="1"/>
    </xf>
    <xf numFmtId="0" fontId="27" fillId="5" borderId="4" xfId="0" applyFont="1" applyFill="1" applyBorder="1" applyAlignment="1">
      <alignment horizontal="center" vertical="center"/>
    </xf>
    <xf numFmtId="0" fontId="27" fillId="5" borderId="5" xfId="0" applyFont="1" applyFill="1" applyBorder="1" applyAlignment="1">
      <alignment horizontal="center" vertical="center"/>
    </xf>
    <xf numFmtId="0" fontId="27" fillId="5" borderId="6" xfId="0" applyFont="1" applyFill="1" applyBorder="1" applyAlignment="1">
      <alignment horizontal="center" vertical="center"/>
    </xf>
    <xf numFmtId="0" fontId="16" fillId="6" borderId="8" xfId="0" applyFont="1" applyFill="1" applyBorder="1" applyAlignment="1">
      <alignment horizontal="left" vertical="center" wrapText="1"/>
    </xf>
    <xf numFmtId="0" fontId="34" fillId="6" borderId="4" xfId="0" applyFont="1" applyFill="1" applyBorder="1" applyAlignment="1">
      <alignment horizontal="center" vertical="center"/>
    </xf>
    <xf numFmtId="0" fontId="34" fillId="6" borderId="5" xfId="0" applyFont="1" applyFill="1" applyBorder="1" applyAlignment="1">
      <alignment horizontal="center" vertical="center"/>
    </xf>
    <xf numFmtId="0" fontId="34" fillId="6" borderId="6" xfId="0" applyFont="1" applyFill="1" applyBorder="1" applyAlignment="1">
      <alignment horizontal="center" vertical="center"/>
    </xf>
  </cellXfs>
  <cellStyles count="8">
    <cellStyle name="header" xfId="1"/>
    <cellStyle name="Komma" xfId="2" builtinId="3"/>
    <cellStyle name="Link" xfId="3" builtinId="8"/>
    <cellStyle name="primary" xfId="4"/>
    <cellStyle name="Prozent" xfId="5" builtinId="5"/>
    <cellStyle name="Standard" xfId="0" builtinId="0"/>
    <cellStyle name="Standard 2" xfId="6"/>
    <cellStyle name="Standard 3" xfId="7"/>
  </cellStyles>
  <dxfs count="26">
    <dxf>
      <font>
        <b/>
        <i val="0"/>
        <color auto="1"/>
      </font>
      <fill>
        <patternFill patternType="solid">
          <bgColor rgb="FFFAFAFA"/>
        </patternFill>
      </fill>
      <border>
        <left style="thin">
          <color auto="1"/>
        </left>
        <right style="thin">
          <color auto="1"/>
        </right>
        <top style="thin">
          <color auto="1"/>
        </top>
        <bottom style="thin">
          <color auto="1"/>
        </bottom>
        <vertical/>
        <horizontal/>
      </border>
    </dxf>
    <dxf>
      <font>
        <b/>
        <i val="0"/>
        <color auto="1"/>
      </font>
    </dxf>
    <dxf>
      <font>
        <b/>
        <i val="0"/>
        <color auto="1"/>
      </font>
    </dxf>
    <dxf>
      <font>
        <b/>
        <i val="0"/>
        <color auto="1"/>
      </font>
    </dxf>
    <dxf>
      <font>
        <b/>
        <i val="0"/>
      </font>
    </dxf>
    <dxf>
      <fill>
        <patternFill patternType="none">
          <bgColor auto="1"/>
        </patternFill>
      </fill>
      <border>
        <left/>
        <right/>
        <top/>
        <bottom/>
      </border>
    </dxf>
    <dxf>
      <font>
        <b/>
        <i val="0"/>
        <color theme="0"/>
      </font>
    </dxf>
    <dxf>
      <font>
        <b/>
        <i val="0"/>
        <color theme="0"/>
      </font>
    </dxf>
    <dxf>
      <font>
        <b/>
        <i val="0"/>
        <color theme="0"/>
      </font>
    </dxf>
    <dxf>
      <font>
        <b/>
        <i val="0"/>
        <color theme="0"/>
      </font>
    </dxf>
    <dxf>
      <font>
        <b/>
        <i val="0"/>
        <color theme="0"/>
      </font>
    </dxf>
    <dxf>
      <font>
        <b/>
        <i val="0"/>
      </font>
    </dxf>
    <dxf>
      <font>
        <b/>
        <i val="0"/>
        <color theme="0"/>
      </font>
    </dxf>
    <dxf>
      <font>
        <b/>
        <i val="0"/>
      </font>
    </dxf>
    <dxf>
      <font>
        <b/>
        <i val="0"/>
        <color theme="0"/>
      </font>
    </dxf>
    <dxf>
      <font>
        <b/>
        <i val="0"/>
      </font>
    </dxf>
    <dxf>
      <font>
        <b/>
        <i val="0"/>
      </font>
    </dxf>
    <dxf>
      <font>
        <b/>
        <i val="0"/>
      </font>
    </dxf>
    <dxf>
      <font>
        <b/>
        <i val="0"/>
      </font>
    </dxf>
    <dxf>
      <font>
        <b/>
        <i val="0"/>
      </font>
    </dxf>
    <dxf>
      <font>
        <b/>
        <i val="0"/>
      </font>
    </dxf>
    <dxf>
      <font>
        <b/>
        <i val="0"/>
      </font>
    </dxf>
    <dxf>
      <font>
        <b/>
        <i val="0"/>
        <color theme="0"/>
      </font>
    </dxf>
    <dxf>
      <font>
        <b/>
        <i val="0"/>
      </font>
    </dxf>
    <dxf>
      <font>
        <b/>
        <i val="0"/>
      </font>
    </dxf>
    <dxf>
      <font>
        <b/>
        <i val="0"/>
        <color theme="0"/>
      </font>
    </dxf>
  </dxfs>
  <tableStyles count="0" defaultTableStyle="TableStyleMedium2" defaultPivotStyle="PivotStyleLight16"/>
  <colors>
    <mruColors>
      <color rgb="FFCBE8F0"/>
      <color rgb="FFED5C2A"/>
      <color rgb="FFC3171C"/>
      <color rgb="FFFAFAFA"/>
      <color rgb="FF41AECB"/>
      <color rgb="FFF07C7F"/>
      <color rgb="FFD624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'Group Projections'!$B$66</c:f>
          <c:strCache>
            <c:ptCount val="1"/>
            <c:pt idx="0">
              <c:v>Cost development - Status quo (subscription-based system)</c:v>
            </c:pt>
          </c:strCache>
        </c:strRef>
      </c:tx>
      <c:layout/>
      <c:overlay val="0"/>
      <c:spPr>
        <a:prstGeom prst="rect">
          <a:avLst/>
        </a:prstGeom>
        <a:noFill/>
        <a:ln>
          <a:noFill/>
        </a:ln>
      </c:spPr>
      <c:txPr>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endParaRPr lang="de-DE"/>
        </a:p>
      </c:txPr>
    </c:title>
    <c:autoTitleDeleted val="0"/>
    <c:plotArea>
      <c:layout/>
      <c:areaChart>
        <c:grouping val="stacked"/>
        <c:varyColors val="0"/>
        <c:ser>
          <c:idx val="10"/>
          <c:order val="7"/>
          <c:tx>
            <c:strRef>
              <c:f>'Group Projections'!$A$97</c:f>
              <c:strCache>
                <c:ptCount val="1"/>
                <c:pt idx="0">
                  <c:v>Area min/max</c:v>
                </c:pt>
              </c:strCache>
            </c:strRef>
          </c:tx>
          <c:spPr>
            <a:prstGeom prst="rect">
              <a:avLst/>
            </a:prstGeom>
            <a:noFill/>
            <a:ln w="25400">
              <a:noFill/>
            </a:ln>
          </c:spPr>
          <c:cat>
            <c:numRef>
              <c:f>'Group Projections'!$B$96:$L$96</c:f>
              <c:numCache>
                <c:formatCode>General</c:formatCode>
                <c:ptCount val="11"/>
                <c:pt idx="0">
                  <c:v>2015</c:v>
                </c:pt>
                <c:pt idx="1">
                  <c:v>2016</c:v>
                </c:pt>
                <c:pt idx="2">
                  <c:v>2017</c:v>
                </c:pt>
                <c:pt idx="3">
                  <c:v>2019</c:v>
                </c:pt>
                <c:pt idx="4">
                  <c:v>2020</c:v>
                </c:pt>
                <c:pt idx="5">
                  <c:v>2020</c:v>
                </c:pt>
                <c:pt idx="6">
                  <c:v>2021</c:v>
                </c:pt>
                <c:pt idx="7">
                  <c:v>2022</c:v>
                </c:pt>
                <c:pt idx="8">
                  <c:v>2023</c:v>
                </c:pt>
                <c:pt idx="9">
                  <c:v>2024</c:v>
                </c:pt>
                <c:pt idx="10">
                  <c:v>2025</c:v>
                </c:pt>
              </c:numCache>
            </c:numRef>
          </c:cat>
          <c:val>
            <c:numRef>
              <c:f>'Group Projections'!$B$97:$L$97</c:f>
              <c:numCache>
                <c:formatCode>General</c:formatCode>
                <c:ptCount val="11"/>
                <c:pt idx="0">
                  <c:v>0</c:v>
                </c:pt>
                <c:pt idx="1">
                  <c:v>0</c:v>
                </c:pt>
                <c:pt idx="2">
                  <c:v>0</c:v>
                </c:pt>
                <c:pt idx="3">
                  <c:v>0</c:v>
                </c:pt>
                <c:pt idx="4" formatCode="#,##0\ &quot;€&quot;">
                  <c:v>0</c:v>
                </c:pt>
                <c:pt idx="5" formatCode="#,##0\ &quot;€&quot;">
                  <c:v>35195604.629610971</c:v>
                </c:pt>
                <c:pt idx="6" formatCode="#,##0\ &quot;€&quot;">
                  <c:v>34299371.847519018</c:v>
                </c:pt>
                <c:pt idx="7" formatCode="#,##0\ &quot;€&quot;">
                  <c:v>34481128.428346239</c:v>
                </c:pt>
                <c:pt idx="8" formatCode="#,##0\ &quot;€&quot;">
                  <c:v>34681046.77433905</c:v>
                </c:pt>
                <c:pt idx="9" formatCode="#,##0\ &quot;€&quot;">
                  <c:v>34903610.445784397</c:v>
                </c:pt>
                <c:pt idx="10" formatCode="#,##0\ &quot;€&quot;">
                  <c:v>35150123.606705837</c:v>
                </c:pt>
              </c:numCache>
            </c:numRef>
          </c:val>
          <c:extLst>
            <c:ext xmlns:c16="http://schemas.microsoft.com/office/drawing/2014/chart" uri="{C3380CC4-5D6E-409C-BE32-E72D297353CC}">
              <c16:uniqueId val="{00000000-4D37-4A3F-B333-E0C5F94C087F}"/>
            </c:ext>
          </c:extLst>
        </c:ser>
        <c:ser>
          <c:idx val="11"/>
          <c:order val="8"/>
          <c:tx>
            <c:strRef>
              <c:f>'Group Projections'!$A$94</c:f>
              <c:strCache>
                <c:ptCount val="1"/>
                <c:pt idx="0">
                  <c:v>DEAL-Possible costs difference</c:v>
                </c:pt>
              </c:strCache>
            </c:strRef>
          </c:tx>
          <c:spPr>
            <a:prstGeom prst="rect">
              <a:avLst/>
            </a:prstGeom>
            <a:pattFill prst="wdUpDiag">
              <a:fgClr>
                <a:schemeClr val="bg2">
                  <a:lumMod val="90000"/>
                </a:schemeClr>
              </a:fgClr>
              <a:bgClr>
                <a:schemeClr val="bg1">
                  <a:lumMod val="95000"/>
                </a:schemeClr>
              </a:bgClr>
            </a:pattFill>
            <a:ln>
              <a:noFill/>
            </a:ln>
          </c:spPr>
          <c:cat>
            <c:numRef>
              <c:f>'Group Projections'!$B$96:$L$96</c:f>
              <c:numCache>
                <c:formatCode>General</c:formatCode>
                <c:ptCount val="11"/>
                <c:pt idx="0">
                  <c:v>2015</c:v>
                </c:pt>
                <c:pt idx="1">
                  <c:v>2016</c:v>
                </c:pt>
                <c:pt idx="2">
                  <c:v>2017</c:v>
                </c:pt>
                <c:pt idx="3">
                  <c:v>2019</c:v>
                </c:pt>
                <c:pt idx="4">
                  <c:v>2020</c:v>
                </c:pt>
                <c:pt idx="5">
                  <c:v>2020</c:v>
                </c:pt>
                <c:pt idx="6">
                  <c:v>2021</c:v>
                </c:pt>
                <c:pt idx="7">
                  <c:v>2022</c:v>
                </c:pt>
                <c:pt idx="8">
                  <c:v>2023</c:v>
                </c:pt>
                <c:pt idx="9">
                  <c:v>2024</c:v>
                </c:pt>
                <c:pt idx="10">
                  <c:v>2025</c:v>
                </c:pt>
              </c:numCache>
            </c:numRef>
          </c:cat>
          <c:val>
            <c:numRef>
              <c:f>'Group Projections'!$B$94:$L$94</c:f>
              <c:numCache>
                <c:formatCode>General</c:formatCode>
                <c:ptCount val="11"/>
                <c:pt idx="5" formatCode="#,##0\ &quot;€&quot;">
                  <c:v>4621766.4946304262</c:v>
                </c:pt>
                <c:pt idx="6" formatCode="#,##0\ &quot;€&quot;">
                  <c:v>7668333.7863444015</c:v>
                </c:pt>
                <c:pt idx="7" formatCode="#,##0\ &quot;€&quot;">
                  <c:v>9972305.530612886</c:v>
                </c:pt>
                <c:pt idx="8" formatCode="#,##0\ &quot;€&quot;">
                  <c:v>12498539.227468297</c:v>
                </c:pt>
                <c:pt idx="9" formatCode="#,##0\ &quot;€&quot;">
                  <c:v>15272966.394433632</c:v>
                </c:pt>
                <c:pt idx="10" formatCode="#,##0\ &quot;€&quot;">
                  <c:v>18324191.824199647</c:v>
                </c:pt>
              </c:numCache>
            </c:numRef>
          </c:val>
          <c:extLst>
            <c:ext xmlns:c16="http://schemas.microsoft.com/office/drawing/2014/chart" uri="{C3380CC4-5D6E-409C-BE32-E72D297353CC}">
              <c16:uniqueId val="{00000001-4D37-4A3F-B333-E0C5F94C087F}"/>
            </c:ext>
          </c:extLst>
        </c:ser>
        <c:dLbls>
          <c:showLegendKey val="0"/>
          <c:showVal val="0"/>
          <c:showCatName val="0"/>
          <c:showSerName val="0"/>
          <c:showPercent val="0"/>
          <c:showBubbleSize val="0"/>
        </c:dLbls>
        <c:axId val="1683597071"/>
        <c:axId val="1683585423"/>
      </c:areaChart>
      <c:lineChart>
        <c:grouping val="standard"/>
        <c:varyColors val="0"/>
        <c:ser>
          <c:idx val="0"/>
          <c:order val="0"/>
          <c:tx>
            <c:strRef>
              <c:f>'Group Projections'!$A$87</c:f>
              <c:strCache>
                <c:ptCount val="1"/>
                <c:pt idx="0">
                  <c:v>Subscriptions</c:v>
                </c:pt>
              </c:strCache>
            </c:strRef>
          </c:tx>
          <c:spPr>
            <a:prstGeom prst="rect">
              <a:avLst/>
            </a:prstGeom>
            <a:ln w="25400" cap="rnd">
              <a:solidFill>
                <a:srgbClr val="41AECB"/>
              </a:solidFill>
              <a:round/>
            </a:ln>
          </c:spPr>
          <c:marker>
            <c:symbol val="none"/>
          </c:marker>
          <c:cat>
            <c:numRef>
              <c:f>'Group Projections'!$B$86:$L$86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'Group Projections'!$B$87:$L$87</c:f>
              <c:numCache>
                <c:formatCode>#,##0\ "€"</c:formatCode>
                <c:ptCount val="11"/>
                <c:pt idx="0">
                  <c:v>24262671.439343963</c:v>
                </c:pt>
                <c:pt idx="1">
                  <c:v>24990551.582524281</c:v>
                </c:pt>
                <c:pt idx="2">
                  <c:v>25740268.13000001</c:v>
                </c:pt>
                <c:pt idx="3">
                  <c:v>26512476.173900012</c:v>
                </c:pt>
                <c:pt idx="4">
                  <c:v>27307850.459117014</c:v>
                </c:pt>
              </c:numCache>
            </c:numRef>
          </c:val>
          <c:smooth val="0"/>
          <c:extLst>
            <c:ext xmlns:c16="http://schemas.microsoft.com/office/drawing/2014/chart" uri="{C3380CC4-5D6E-409C-BE32-E72D297353CC}">
              <c16:uniqueId val="{00000002-4D37-4A3F-B333-E0C5F94C087F}"/>
            </c:ext>
          </c:extLst>
        </c:ser>
        <c:ser>
          <c:idx val="1"/>
          <c:order val="1"/>
          <c:tx>
            <c:strRef>
              <c:f>'Group Projections'!$A$88</c:f>
              <c:strCache>
                <c:ptCount val="1"/>
                <c:pt idx="0">
                  <c:v>Subscriptions</c:v>
                </c:pt>
              </c:strCache>
            </c:strRef>
          </c:tx>
          <c:spPr>
            <a:prstGeom prst="rect">
              <a:avLst/>
            </a:prstGeom>
            <a:ln w="25400" cap="rnd">
              <a:solidFill>
                <a:srgbClr val="41AECB"/>
              </a:solidFill>
              <a:prstDash val="dash"/>
              <a:round/>
            </a:ln>
          </c:spPr>
          <c:marker>
            <c:symbol val="none"/>
          </c:marker>
          <c:cat>
            <c:numRef>
              <c:f>'Group Projections'!$B$86:$L$86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'Group Projections'!$B$88:$L$88</c:f>
              <c:numCache>
                <c:formatCode>General</c:formatCode>
                <c:ptCount val="11"/>
                <c:pt idx="4" formatCode="#,##0\ &quot;€&quot;">
                  <c:v>27307850.459117014</c:v>
                </c:pt>
                <c:pt idx="5" formatCode="#,##0\ &quot;€&quot;">
                  <c:v>28127085.972890526</c:v>
                </c:pt>
                <c:pt idx="6" formatCode="#,##0\ &quot;€&quot;">
                  <c:v>28970898.552077241</c:v>
                </c:pt>
                <c:pt idx="7" formatCode="#,##0\ &quot;€&quot;">
                  <c:v>29840025.508639559</c:v>
                </c:pt>
                <c:pt idx="8" formatCode="#,##0\ &quot;€&quot;">
                  <c:v>30735226.273898747</c:v>
                </c:pt>
                <c:pt idx="9" formatCode="#,##0\ &quot;€&quot;">
                  <c:v>31657283.06211571</c:v>
                </c:pt>
                <c:pt idx="10" formatCode="#,##0\ &quot;€&quot;">
                  <c:v>32607001.553979181</c:v>
                </c:pt>
              </c:numCache>
            </c:numRef>
          </c:val>
          <c:smooth val="0"/>
          <c:extLst>
            <c:ext xmlns:c16="http://schemas.microsoft.com/office/drawing/2014/chart" uri="{C3380CC4-5D6E-409C-BE32-E72D297353CC}">
              <c16:uniqueId val="{00000003-4D37-4A3F-B333-E0C5F94C087F}"/>
            </c:ext>
          </c:extLst>
        </c:ser>
        <c:ser>
          <c:idx val="2"/>
          <c:order val="2"/>
          <c:tx>
            <c:strRef>
              <c:f>'Group Projections'!$A$89</c:f>
              <c:strCache>
                <c:ptCount val="1"/>
                <c:pt idx="0">
                  <c:v>APC expenditure</c:v>
                </c:pt>
              </c:strCache>
            </c:strRef>
          </c:tx>
          <c:spPr>
            <a:prstGeom prst="rect">
              <a:avLst/>
            </a:prstGeom>
            <a:ln w="25400" cap="rnd">
              <a:solidFill>
                <a:srgbClr val="ED5C2A"/>
              </a:solidFill>
              <a:round/>
            </a:ln>
          </c:spPr>
          <c:marker>
            <c:symbol val="none"/>
          </c:marker>
          <c:cat>
            <c:numRef>
              <c:f>'Group Projections'!$B$86:$L$86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'Group Projections'!$B$89:$L$89</c:f>
              <c:numCache>
                <c:formatCode>#,##0\ "€"</c:formatCode>
                <c:ptCount val="11"/>
                <c:pt idx="0">
                  <c:v>5863662.3159999996</c:v>
                </c:pt>
                <c:pt idx="1">
                  <c:v>6804515.1068301229</c:v>
                </c:pt>
                <c:pt idx="2">
                  <c:v>7898284.409461664</c:v>
                </c:pt>
                <c:pt idx="3">
                  <c:v>8686586</c:v>
                </c:pt>
                <c:pt idx="4">
                  <c:v>9837805</c:v>
                </c:pt>
              </c:numCache>
            </c:numRef>
          </c:val>
          <c:smooth val="0"/>
          <c:extLst>
            <c:ext xmlns:c16="http://schemas.microsoft.com/office/drawing/2014/chart" uri="{C3380CC4-5D6E-409C-BE32-E72D297353CC}">
              <c16:uniqueId val="{00000004-4D37-4A3F-B333-E0C5F94C087F}"/>
            </c:ext>
          </c:extLst>
        </c:ser>
        <c:ser>
          <c:idx val="8"/>
          <c:order val="3"/>
          <c:tx>
            <c:strRef>
              <c:f>'Group Projections'!$A$90</c:f>
              <c:strCache>
                <c:ptCount val="1"/>
                <c:pt idx="0">
                  <c:v>APC expenditure</c:v>
                </c:pt>
              </c:strCache>
            </c:strRef>
          </c:tx>
          <c:spPr>
            <a:prstGeom prst="rect">
              <a:avLst/>
            </a:prstGeom>
            <a:ln w="25400" cap="rnd">
              <a:solidFill>
                <a:srgbClr val="ED5C2A"/>
              </a:solidFill>
              <a:prstDash val="dash"/>
              <a:round/>
            </a:ln>
          </c:spPr>
          <c:marker>
            <c:symbol val="none"/>
          </c:marker>
          <c:cat>
            <c:numRef>
              <c:f>'Group Projections'!$B$86:$L$86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'Group Projections'!$B$90:$L$90</c:f>
              <c:numCache>
                <c:formatCode>#,##0\ "€"</c:formatCode>
                <c:ptCount val="11"/>
                <c:pt idx="4">
                  <c:v>9837805</c:v>
                </c:pt>
                <c:pt idx="5">
                  <c:v>11690285.151350869</c:v>
                </c:pt>
                <c:pt idx="6">
                  <c:v>12996807.081786176</c:v>
                </c:pt>
                <c:pt idx="7">
                  <c:v>14613408.450319564</c:v>
                </c:pt>
                <c:pt idx="8">
                  <c:v>16444359.727908596</c:v>
                </c:pt>
                <c:pt idx="9">
                  <c:v>18519293.77810232</c:v>
                </c:pt>
                <c:pt idx="10">
                  <c:v>20867313.876926303</c:v>
                </c:pt>
              </c:numCache>
            </c:numRef>
          </c:val>
          <c:smooth val="0"/>
          <c:extLst>
            <c:ext xmlns:c16="http://schemas.microsoft.com/office/drawing/2014/chart" uri="{C3380CC4-5D6E-409C-BE32-E72D297353CC}">
              <c16:uniqueId val="{00000005-4D37-4A3F-B333-E0C5F94C087F}"/>
            </c:ext>
          </c:extLst>
        </c:ser>
        <c:ser>
          <c:idx val="3"/>
          <c:order val="4"/>
          <c:tx>
            <c:strRef>
              <c:f>'Group Projections'!$A$91</c:f>
              <c:strCache>
                <c:ptCount val="1"/>
                <c:pt idx="0">
                  <c:v>Total expenditure (Subscriptions + APCs)</c:v>
                </c:pt>
              </c:strCache>
            </c:strRef>
          </c:tx>
          <c:spPr>
            <a:prstGeom prst="rect">
              <a:avLst/>
            </a:prstGeom>
            <a:ln w="25400" cap="rnd">
              <a:solidFill>
                <a:srgbClr val="444342"/>
              </a:solidFill>
              <a:round/>
            </a:ln>
          </c:spPr>
          <c:marker>
            <c:symbol val="none"/>
          </c:marker>
          <c:cat>
            <c:numRef>
              <c:f>'Group Projections'!$B$86:$L$86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'Group Projections'!$B$91:$L$91</c:f>
              <c:numCache>
                <c:formatCode>#,##0\ "€"</c:formatCode>
                <c:ptCount val="11"/>
                <c:pt idx="0">
                  <c:v>30126333.755343962</c:v>
                </c:pt>
                <c:pt idx="1">
                  <c:v>31795066.689354405</c:v>
                </c:pt>
                <c:pt idx="2">
                  <c:v>33638552.539461672</c:v>
                </c:pt>
                <c:pt idx="3">
                  <c:v>35199062.173900008</c:v>
                </c:pt>
                <c:pt idx="4">
                  <c:v>37145655.45911701</c:v>
                </c:pt>
              </c:numCache>
            </c:numRef>
          </c:val>
          <c:smooth val="0"/>
          <c:extLst>
            <c:ext xmlns:c16="http://schemas.microsoft.com/office/drawing/2014/chart" uri="{C3380CC4-5D6E-409C-BE32-E72D297353CC}">
              <c16:uniqueId val="{00000006-4D37-4A3F-B333-E0C5F94C087F}"/>
            </c:ext>
          </c:extLst>
        </c:ser>
        <c:ser>
          <c:idx val="9"/>
          <c:order val="5"/>
          <c:tx>
            <c:strRef>
              <c:f>'Group Projections'!$A$92</c:f>
              <c:strCache>
                <c:ptCount val="1"/>
                <c:pt idx="0">
                  <c:v>Total expenditure (Subscriptions + APCs)</c:v>
                </c:pt>
              </c:strCache>
            </c:strRef>
          </c:tx>
          <c:spPr>
            <a:prstGeom prst="rect">
              <a:avLst/>
            </a:prstGeom>
            <a:ln w="25400" cap="rnd">
              <a:solidFill>
                <a:srgbClr val="444342"/>
              </a:solidFill>
              <a:prstDash val="dash"/>
              <a:round/>
            </a:ln>
          </c:spPr>
          <c:marker>
            <c:symbol val="none"/>
          </c:marker>
          <c:cat>
            <c:numRef>
              <c:f>'Group Projections'!$B$86:$L$86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'Group Projections'!$B$92:$L$92</c:f>
              <c:numCache>
                <c:formatCode>General</c:formatCode>
                <c:ptCount val="11"/>
                <c:pt idx="3" formatCode="#,##0\ &quot;€&quot;">
                  <c:v>35199062.173900008</c:v>
                </c:pt>
                <c:pt idx="4" formatCode="#,##0\ &quot;€&quot;">
                  <c:v>37145655.45911701</c:v>
                </c:pt>
                <c:pt idx="5" formatCode="#,##0\ &quot;€&quot;">
                  <c:v>39817371.124241397</c:v>
                </c:pt>
                <c:pt idx="6" formatCode="#,##0\ &quot;€&quot;">
                  <c:v>41967705.633863419</c:v>
                </c:pt>
                <c:pt idx="7" formatCode="#,##0\ &quot;€&quot;">
                  <c:v>44453433.958959125</c:v>
                </c:pt>
                <c:pt idx="8" formatCode="#,##0\ &quot;€&quot;">
                  <c:v>47179586.001807347</c:v>
                </c:pt>
                <c:pt idx="9" formatCode="#,##0\ &quot;€&quot;">
                  <c:v>50176576.84021803</c:v>
                </c:pt>
                <c:pt idx="10" formatCode="#,##0\ &quot;€&quot;">
                  <c:v>53474315.430905484</c:v>
                </c:pt>
              </c:numCache>
            </c:numRef>
          </c:val>
          <c:smooth val="0"/>
          <c:extLst>
            <c:ext xmlns:c16="http://schemas.microsoft.com/office/drawing/2014/chart" uri="{C3380CC4-5D6E-409C-BE32-E72D297353CC}">
              <c16:uniqueId val="{00000007-4D37-4A3F-B333-E0C5F94C087F}"/>
            </c:ext>
          </c:extLst>
        </c:ser>
        <c:ser>
          <c:idx val="4"/>
          <c:order val="6"/>
          <c:tx>
            <c:strRef>
              <c:f>'Group Projections'!$A$93</c:f>
              <c:strCache>
                <c:ptCount val="1"/>
                <c:pt idx="0">
                  <c:v>DEAL (reference)</c:v>
                </c:pt>
              </c:strCache>
            </c:strRef>
          </c:tx>
          <c:spPr>
            <a:prstGeom prst="rect">
              <a:avLst/>
            </a:prstGeom>
            <a:ln w="25400" cap="rnd">
              <a:solidFill>
                <a:srgbClr val="C3171C"/>
              </a:solidFill>
              <a:round/>
            </a:ln>
          </c:spPr>
          <c:marker>
            <c:symbol val="none"/>
          </c:marker>
          <c:dPt>
            <c:idx val="5"/>
            <c:bubble3D val="0"/>
            <c:spPr>
              <a:prstGeom prst="rect">
                <a:avLst/>
              </a:prstGeom>
              <a:ln w="25400" cap="rnd">
                <a:solidFill>
                  <a:srgbClr val="C3171C"/>
                </a:solidFill>
                <a:prstDash val="dash"/>
                <a:round/>
              </a:ln>
            </c:spPr>
            <c:extLst>
              <c:ext xmlns:c16="http://schemas.microsoft.com/office/drawing/2014/chart" uri="{C3380CC4-5D6E-409C-BE32-E72D297353CC}">
                <c16:uniqueId val="{00000009-4D37-4A3F-B333-E0C5F94C087F}"/>
              </c:ext>
            </c:extLst>
          </c:dPt>
          <c:cat>
            <c:numRef>
              <c:f>'Group Projections'!$B$86:$L$86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'Group Projections'!$B$93:$L$93</c:f>
              <c:numCache>
                <c:formatCode>#,##0\ "€"</c:formatCode>
                <c:ptCount val="11"/>
                <c:pt idx="5">
                  <c:v>35195604.629610971</c:v>
                </c:pt>
                <c:pt idx="6">
                  <c:v>34299371.847519018</c:v>
                </c:pt>
                <c:pt idx="7">
                  <c:v>34481128.428346239</c:v>
                </c:pt>
                <c:pt idx="8">
                  <c:v>34681046.77433905</c:v>
                </c:pt>
                <c:pt idx="9">
                  <c:v>34903610.445784397</c:v>
                </c:pt>
                <c:pt idx="10">
                  <c:v>35150123.606705837</c:v>
                </c:pt>
              </c:numCache>
            </c:numRef>
          </c:val>
          <c:smooth val="0"/>
          <c:extLst>
            <c:ext xmlns:c16="http://schemas.microsoft.com/office/drawing/2014/chart" uri="{C3380CC4-5D6E-409C-BE32-E72D297353CC}">
              <c16:uniqueId val="{0000000A-4D37-4A3F-B333-E0C5F94C087F}"/>
            </c:ext>
          </c:extLst>
        </c:ser>
        <c:dLbls>
          <c:showLegendKey val="0"/>
          <c:showVal val="0"/>
          <c:showCatName val="0"/>
          <c:showSerName val="0"/>
          <c:showPercent val="0"/>
          <c:showBubbleSize val="0"/>
        </c:dLbls>
        <c:marker val="1"/>
        <c:smooth val="0"/>
        <c:axId val="1915584767"/>
        <c:axId val="1915583103"/>
      </c:lineChart>
      <c:scatterChart>
        <c:scatterStyle val="lineMarker"/>
        <c:varyColors val="0"/>
        <c:ser>
          <c:idx val="5"/>
          <c:order val="9"/>
          <c:tx>
            <c:strRef>
              <c:f>'Group Projections'!$A$134</c:f>
              <c:strCache>
                <c:ptCount val="1"/>
                <c:pt idx="0">
                  <c:v>max</c:v>
                </c:pt>
              </c:strCache>
            </c:strRef>
          </c:tx>
          <c:spPr>
            <a:prstGeom prst="rect">
              <a:avLst/>
            </a:prstGeom>
            <a:ln w="19050">
              <a:noFill/>
            </a:ln>
          </c:spPr>
          <c:dPt>
            <c:idx val="0"/>
            <c:marker>
              <c:symbol val="none"/>
            </c:marker>
            <c:bubble3D val="0"/>
            <c:extLst>
              <c:ext xmlns:c16="http://schemas.microsoft.com/office/drawing/2014/chart" uri="{C3380CC4-5D6E-409C-BE32-E72D297353CC}">
                <c16:uniqueId val="{0000000B-4D37-4A3F-B333-E0C5F94C087F}"/>
              </c:ext>
            </c:extLst>
          </c:dPt>
          <c:xVal>
            <c:numRef>
              <c:f>'Group Projections'!$B$86:$L$86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xVal>
          <c:yVal>
            <c:numRef>
              <c:f>'Group Projections'!$B$135</c:f>
              <c:numCache>
                <c:formatCode>_-* #,##0_-;\-* #,##0_-;_-* "-"??_-;_-@_-</c:formatCode>
                <c:ptCount val="1"/>
                <c:pt idx="0">
                  <c:v>88126828.180915862</c:v>
                </c:pt>
              </c:numCache>
            </c:numRef>
          </c:yVal>
          <c:smooth val="0"/>
          <c:extLst>
            <c:ext xmlns:c16="http://schemas.microsoft.com/office/drawing/2014/chart" uri="{C3380CC4-5D6E-409C-BE32-E72D297353CC}">
              <c16:uniqueId val="{0000000C-4D37-4A3F-B333-E0C5F94C087F}"/>
            </c:ext>
          </c:extLst>
        </c:ser>
        <c:dLbls>
          <c:showLegendKey val="0"/>
          <c:showVal val="0"/>
          <c:showCatName val="0"/>
          <c:showSerName val="0"/>
          <c:showPercent val="0"/>
          <c:showBubbleSize val="0"/>
        </c:dLbls>
        <c:axId val="1683597071"/>
        <c:axId val="1683585423"/>
      </c:scatterChart>
      <c:catAx>
        <c:axId val="1915584767"/>
        <c:scaling>
          <c:orientation val="minMax"/>
        </c:scaling>
        <c:delete val="0"/>
        <c:axPos val="b"/>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1200" b="0" i="0" u="none" strike="noStrike">
                <a:solidFill>
                  <a:schemeClr val="tx1">
                    <a:lumMod val="65000"/>
                    <a:lumOff val="35000"/>
                  </a:schemeClr>
                </a:solidFill>
                <a:latin typeface="+mn-lt"/>
                <a:ea typeface="+mn-ea"/>
                <a:cs typeface="+mn-cs"/>
              </a:defRPr>
            </a:pPr>
            <a:endParaRPr lang="de-DE"/>
          </a:p>
        </c:txPr>
        <c:crossAx val="1915583103"/>
        <c:crosses val="autoZero"/>
        <c:auto val="1"/>
        <c:lblAlgn val="ctr"/>
        <c:lblOffset val="100"/>
        <c:noMultiLvlLbl val="0"/>
      </c:catAx>
      <c:valAx>
        <c:axId val="1915583103"/>
        <c:scaling>
          <c:orientation val="minMax"/>
          <c:min val="0"/>
        </c:scaling>
        <c:delete val="0"/>
        <c:axPos val="l"/>
        <c:majorGridlines>
          <c:spPr>
            <a:prstGeom prst="rect">
              <a:avLst/>
            </a:prstGeom>
            <a:ln w="9525" cap="flat" cmpd="sng" algn="ctr">
              <a:solidFill>
                <a:schemeClr val="tx1">
                  <a:lumMod val="15000"/>
                  <a:lumOff val="85000"/>
                </a:schemeClr>
              </a:solidFill>
              <a:round/>
            </a:ln>
          </c:spPr>
        </c:majorGridlines>
        <c:numFmt formatCode="#,##0\ &quot;€&quot;" sourceLinked="0"/>
        <c:majorTickMark val="none"/>
        <c:minorTickMark val="none"/>
        <c:tickLblPos val="nextTo"/>
        <c:spPr>
          <a:prstGeom prst="rect">
            <a:avLst/>
          </a:prstGeom>
          <a:noFill/>
          <a:ln>
            <a:noFill/>
          </a:ln>
        </c:spPr>
        <c:txPr>
          <a:bodyPr rot="-60000000" spcFirstLastPara="1" vertOverflow="ellipsis" vert="horz" wrap="square" anchor="ctr" anchorCtr="1"/>
          <a:lstStyle/>
          <a:p>
            <a:pPr>
              <a:defRPr sz="1200" b="0" i="0" u="none" strike="noStrike">
                <a:solidFill>
                  <a:schemeClr val="tx1">
                    <a:lumMod val="65000"/>
                    <a:lumOff val="35000"/>
                  </a:schemeClr>
                </a:solidFill>
                <a:latin typeface="+mn-lt"/>
                <a:ea typeface="+mn-ea"/>
                <a:cs typeface="+mn-cs"/>
              </a:defRPr>
            </a:pPr>
            <a:endParaRPr lang="de-DE"/>
          </a:p>
        </c:txPr>
        <c:crossAx val="1915584767"/>
        <c:crosses val="autoZero"/>
        <c:crossBetween val="between"/>
      </c:valAx>
      <c:valAx>
        <c:axId val="1683585423"/>
        <c:scaling>
          <c:orientation val="minMax"/>
        </c:scaling>
        <c:delete val="1"/>
        <c:axPos val="r"/>
        <c:numFmt formatCode="General" sourceLinked="1"/>
        <c:majorTickMark val="out"/>
        <c:minorTickMark val="none"/>
        <c:tickLblPos val="nextTo"/>
        <c:crossAx val="1683597071"/>
        <c:crosses val="max"/>
        <c:crossBetween val="between"/>
      </c:valAx>
      <c:dateAx>
        <c:axId val="1683597071"/>
        <c:scaling>
          <c:orientation val="minMax"/>
        </c:scaling>
        <c:delete val="0"/>
        <c:axPos val="t"/>
        <c:numFmt formatCode="General" sourceLinked="1"/>
        <c:majorTickMark val="none"/>
        <c:minorTickMark val="none"/>
        <c:tickLblPos val="none"/>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1200" b="0" i="0" u="none" strike="noStrike">
                <a:solidFill>
                  <a:schemeClr val="tx1">
                    <a:lumMod val="65000"/>
                    <a:lumOff val="35000"/>
                  </a:schemeClr>
                </a:solidFill>
                <a:latin typeface="+mn-lt"/>
                <a:ea typeface="+mn-ea"/>
                <a:cs typeface="+mn-cs"/>
              </a:defRPr>
            </a:pPr>
            <a:endParaRPr lang="de-DE"/>
          </a:p>
        </c:txPr>
        <c:crossAx val="1683585423"/>
        <c:crosses val="max"/>
        <c:auto val="0"/>
        <c:lblOffset val="100"/>
        <c:baseTimeUnit val="days"/>
      </c:dateAx>
      <c:spPr>
        <a:prstGeom prst="rect">
          <a:avLst/>
        </a:prstGeom>
        <a:noFill/>
        <a:ln>
          <a:noFill/>
        </a:ln>
      </c:spPr>
    </c:plotArea>
    <c:legend>
      <c:legendPos val="b"/>
      <c:legendEntry>
        <c:idx val="0"/>
        <c:delete val="1"/>
      </c:legendEntry>
      <c:legendEntry>
        <c:idx val="1"/>
        <c:delete val="1"/>
      </c:legendEntry>
      <c:legendEntry>
        <c:idx val="3"/>
        <c:delete val="1"/>
      </c:legendEntry>
      <c:legendEntry>
        <c:idx val="5"/>
        <c:delete val="1"/>
      </c:legendEntry>
      <c:legendEntry>
        <c:idx val="7"/>
        <c:delete val="1"/>
      </c:legendEntry>
      <c:legendEntry>
        <c:idx val="9"/>
        <c:delete val="1"/>
      </c:legendEntry>
      <c:layout/>
      <c:overlay val="0"/>
      <c:spPr>
        <a:prstGeom prst="rect">
          <a:avLst/>
        </a:prstGeom>
        <a:noFill/>
        <a:ln>
          <a:noFill/>
        </a:ln>
      </c:spPr>
      <c:txPr>
        <a:bodyPr rot="0" spcFirstLastPara="1" vertOverflow="ellipsis" vert="horz" wrap="square" anchor="ctr" anchorCtr="1"/>
        <a:lstStyle/>
        <a:p>
          <a:pPr>
            <a:defRPr sz="1200" b="0" i="0" u="none" strike="noStrike">
              <a:solidFill>
                <a:schemeClr val="tx1">
                  <a:lumMod val="65000"/>
                  <a:lumOff val="35000"/>
                </a:schemeClr>
              </a:solidFill>
              <a:latin typeface="+mn-lt"/>
              <a:ea typeface="+mn-ea"/>
              <a:cs typeface="+mn-cs"/>
            </a:defRPr>
          </a:pPr>
          <a:endParaRPr lang="de-DE"/>
        </a:p>
      </c:txPr>
    </c:legend>
    <c:plotVisOnly val="0"/>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sz="1200"/>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'Group Projections'!$B$67</c:f>
          <c:strCache>
            <c:ptCount val="1"/>
            <c:pt idx="0">
              <c:v>Cost avoidance / funding gap - Status quo (subscription-based system)</c:v>
            </c:pt>
          </c:strCache>
        </c:strRef>
      </c:tx>
      <c:overlay val="0"/>
      <c:spPr>
        <a:prstGeom prst="rect">
          <a:avLst/>
        </a:prstGeom>
        <a:noFill/>
        <a:ln>
          <a:noFill/>
        </a:ln>
      </c:spPr>
      <c:txPr>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'Group Projections'!$J$74</c:f>
              <c:strCache>
                <c:ptCount val="1"/>
                <c:pt idx="0">
                  <c:v>Annual</c:v>
                </c:pt>
              </c:strCache>
            </c:strRef>
          </c:tx>
          <c:spPr>
            <a:prstGeom prst="rect">
              <a:avLst/>
            </a:prstGeom>
            <a:solidFill>
              <a:srgbClr val="C5E0B4"/>
            </a:solidFill>
            <a:ln>
              <a:noFill/>
            </a:ln>
          </c:spPr>
          <c:invertIfNegative val="1"/>
          <c:cat>
            <c:numRef>
              <c:f>'Group Projections'!$I$76:$I$81</c:f>
              <c:numCache>
                <c:formatCode>General</c:formatCode>
                <c:ptCount val="6"/>
                <c:pt idx="0">
                  <c:v>2020</c:v>
                </c:pt>
                <c:pt idx="1">
                  <c:v>2021</c:v>
                </c:pt>
                <c:pt idx="2">
                  <c:v>2022</c:v>
                </c:pt>
                <c:pt idx="3">
                  <c:v>2023</c:v>
                </c:pt>
                <c:pt idx="4">
                  <c:v>2024</c:v>
                </c:pt>
                <c:pt idx="5">
                  <c:v>2025</c:v>
                </c:pt>
              </c:numCache>
            </c:numRef>
          </c:cat>
          <c:val>
            <c:numRef>
              <c:f>'Group Projections'!$J$76:$J$81</c:f>
              <c:numCache>
                <c:formatCode>#,##0\ "€"</c:formatCode>
                <c:ptCount val="6"/>
                <c:pt idx="0">
                  <c:v>4621766.4946304262</c:v>
                </c:pt>
                <c:pt idx="1">
                  <c:v>7668333.7863444015</c:v>
                </c:pt>
                <c:pt idx="2">
                  <c:v>9972305.530612886</c:v>
                </c:pt>
                <c:pt idx="3">
                  <c:v>12498539.227468297</c:v>
                </c:pt>
                <c:pt idx="4">
                  <c:v>15272966.394433632</c:v>
                </c:pt>
                <c:pt idx="5">
                  <c:v>18324191.824199647</c:v>
                </c:pt>
              </c:numCache>
            </c:numRef>
          </c:val>
          <c:extLst>
            <c:ext xmlns:c14="http://schemas.microsoft.com/office/drawing/2007/8/2/chart" uri="{6F2FDCE9-48DA-4B69-8628-5D25D57E5C99}">
              <c14:invertSolidFillFmt>
                <c14:spPr xmlns:c14="http://schemas.microsoft.com/office/drawing/2007/8/2/chart">
                  <a:prstGeom prst="rect">
                    <a:avLst/>
                  </a:prstGeom>
                  <a:solidFill>
                    <a:srgbClr val="F07C7F"/>
                  </a:solidFill>
                  <a:ln>
                    <a:noFill/>
                  </a:ln>
                </c14:spPr>
              </c14:invertSolidFillFmt>
            </c:ext>
            <c:ext xmlns:c16="http://schemas.microsoft.com/office/drawing/2014/chart" uri="{C3380CC4-5D6E-409C-BE32-E72D297353CC}">
              <c16:uniqueId val="{00000000-C420-4228-97D0-D87750DE9D99}"/>
            </c:ext>
          </c:extLst>
        </c:ser>
        <c:ser>
          <c:idx val="1"/>
          <c:order val="1"/>
          <c:tx>
            <c:strRef>
              <c:f>'Group Projections'!$K$74</c:f>
              <c:strCache>
                <c:ptCount val="1"/>
                <c:pt idx="0">
                  <c:v>Cumulative</c:v>
                </c:pt>
              </c:strCache>
            </c:strRef>
          </c:tx>
          <c:spPr>
            <a:prstGeom prst="rect">
              <a:avLst/>
            </a:prstGeom>
            <a:solidFill>
              <a:srgbClr val="548235"/>
            </a:solidFill>
            <a:ln>
              <a:noFill/>
            </a:ln>
          </c:spPr>
          <c:invertIfNegative val="1"/>
          <c:cat>
            <c:numRef>
              <c:f>'Group Projections'!$I$76:$I$81</c:f>
              <c:numCache>
                <c:formatCode>General</c:formatCode>
                <c:ptCount val="6"/>
                <c:pt idx="0">
                  <c:v>2020</c:v>
                </c:pt>
                <c:pt idx="1">
                  <c:v>2021</c:v>
                </c:pt>
                <c:pt idx="2">
                  <c:v>2022</c:v>
                </c:pt>
                <c:pt idx="3">
                  <c:v>2023</c:v>
                </c:pt>
                <c:pt idx="4">
                  <c:v>2024</c:v>
                </c:pt>
                <c:pt idx="5">
                  <c:v>2025</c:v>
                </c:pt>
              </c:numCache>
            </c:numRef>
          </c:cat>
          <c:val>
            <c:numRef>
              <c:f>'Group Projections'!$K$76:$K$81</c:f>
              <c:numCache>
                <c:formatCode>#,##0\ "€"</c:formatCode>
                <c:ptCount val="6"/>
                <c:pt idx="0">
                  <c:v>4621766.4946304262</c:v>
                </c:pt>
                <c:pt idx="1">
                  <c:v>12290100.280974828</c:v>
                </c:pt>
                <c:pt idx="2">
                  <c:v>22262405.811587714</c:v>
                </c:pt>
                <c:pt idx="3">
                  <c:v>34760945.039056011</c:v>
                </c:pt>
                <c:pt idx="4">
                  <c:v>50033911.433489643</c:v>
                </c:pt>
                <c:pt idx="5">
                  <c:v>68358103.257689297</c:v>
                </c:pt>
              </c:numCache>
            </c:numRef>
          </c:val>
          <c:extLst>
            <c:ext xmlns:c14="http://schemas.microsoft.com/office/drawing/2007/8/2/chart" uri="{6F2FDCE9-48DA-4B69-8628-5D25D57E5C99}">
              <c14:invertSolidFillFmt>
                <c14:spPr xmlns:c14="http://schemas.microsoft.com/office/drawing/2007/8/2/chart">
                  <a:prstGeom prst="rect">
                    <a:avLst/>
                  </a:prstGeom>
                  <a:solidFill>
                    <a:srgbClr val="C3171C"/>
                  </a:solidFill>
                  <a:ln>
                    <a:noFill/>
                  </a:ln>
                </c14:spPr>
              </c14:invertSolidFillFmt>
            </c:ext>
            <c:ext xmlns:c16="http://schemas.microsoft.com/office/drawing/2014/chart" uri="{C3380CC4-5D6E-409C-BE32-E72D297353CC}">
              <c16:uniqueId val="{00000001-C420-4228-97D0-D87750DE9D99}"/>
            </c:ext>
          </c:extLst>
        </c:ser>
        <c:dLbls>
          <c:showLegendKey val="0"/>
          <c:showVal val="0"/>
          <c:showCatName val="0"/>
          <c:showSerName val="0"/>
          <c:showPercent val="0"/>
          <c:showBubbleSize val="0"/>
        </c:dLbls>
        <c:gapWidth val="182"/>
        <c:axId val="404244047"/>
        <c:axId val="404239055"/>
      </c:barChart>
      <c:dateAx>
        <c:axId val="404244047"/>
        <c:scaling>
          <c:orientation val="minMax"/>
        </c:scaling>
        <c:delete val="0"/>
        <c:axPos val="b"/>
        <c:numFmt formatCode="General" sourceLinked="1"/>
        <c:majorTickMark val="none"/>
        <c:minorTickMark val="none"/>
        <c:tickLblPos val="low"/>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1200" b="0" i="0" u="none" strike="noStrike">
                <a:solidFill>
                  <a:schemeClr val="tx1">
                    <a:lumMod val="65000"/>
                    <a:lumOff val="35000"/>
                  </a:schemeClr>
                </a:solidFill>
                <a:latin typeface="+mn-lt"/>
                <a:ea typeface="+mn-ea"/>
                <a:cs typeface="+mn-cs"/>
              </a:defRPr>
            </a:pPr>
            <a:endParaRPr lang="de-DE"/>
          </a:p>
        </c:txPr>
        <c:crossAx val="404239055"/>
        <c:crosses val="autoZero"/>
        <c:auto val="0"/>
        <c:lblOffset val="100"/>
        <c:baseTimeUnit val="days"/>
      </c:dateAx>
      <c:valAx>
        <c:axId val="404239055"/>
        <c:scaling>
          <c:orientation val="minMax"/>
        </c:scaling>
        <c:delete val="0"/>
        <c:axPos val="l"/>
        <c:majorGridlines>
          <c:spPr>
            <a:prstGeom prst="rect">
              <a:avLst/>
            </a:prstGeom>
            <a:ln w="9525" cap="flat" cmpd="sng" algn="ctr">
              <a:solidFill>
                <a:schemeClr val="tx1">
                  <a:lumMod val="15000"/>
                  <a:lumOff val="85000"/>
                </a:schemeClr>
              </a:solidFill>
              <a:round/>
            </a:ln>
          </c:spPr>
        </c:majorGridlines>
        <c:numFmt formatCode="#,##0\ &quot;€&quot;" sourceLinked="1"/>
        <c:majorTickMark val="none"/>
        <c:minorTickMark val="none"/>
        <c:tickLblPos val="nextTo"/>
        <c:spPr>
          <a:prstGeom prst="rect">
            <a:avLst/>
          </a:prstGeom>
          <a:noFill/>
          <a:ln>
            <a:noFill/>
          </a:ln>
        </c:spPr>
        <c:txPr>
          <a:bodyPr rot="-60000000" spcFirstLastPara="1" vertOverflow="ellipsis" vert="horz" wrap="square" anchor="ctr" anchorCtr="1"/>
          <a:lstStyle/>
          <a:p>
            <a:pPr>
              <a:defRPr sz="1200" b="0" i="0" u="none" strike="noStrike">
                <a:solidFill>
                  <a:schemeClr val="tx1">
                    <a:lumMod val="65000"/>
                    <a:lumOff val="35000"/>
                  </a:schemeClr>
                </a:solidFill>
                <a:latin typeface="+mn-lt"/>
                <a:ea typeface="+mn-ea"/>
                <a:cs typeface="+mn-cs"/>
              </a:defRPr>
            </a:pPr>
            <a:endParaRPr lang="de-DE"/>
          </a:p>
        </c:txPr>
        <c:crossAx val="404244047"/>
        <c:crossesAt val="2019"/>
        <c:crossBetween val="between"/>
      </c:valAx>
      <c:dTable>
        <c:showHorzBorder val="1"/>
        <c:showVertBorder val="1"/>
        <c:showOutline val="1"/>
        <c:showKeys val="0"/>
        <c:spPr>
          <a:prstGeom prst="rect">
            <a:avLst/>
          </a:prstGeom>
          <a:noFill/>
          <a:ln w="9525" cap="flat" cmpd="sng" algn="ctr">
            <a:solidFill>
              <a:schemeClr val="tx1">
                <a:lumMod val="15000"/>
                <a:lumOff val="85000"/>
              </a:schemeClr>
            </a:solidFill>
            <a:round/>
          </a:ln>
        </c:spPr>
        <c:txPr>
          <a:bodyPr rot="0" spcFirstLastPara="1" vertOverflow="ellipsis" vert="horz" wrap="square" anchor="ctr" anchorCtr="1"/>
          <a:lstStyle/>
          <a:p>
            <a:pPr rtl="0">
              <a:defRPr sz="1200" b="0" i="0" u="none" strike="noStrike">
                <a:ln>
                  <a:noFill/>
                </a:ln>
                <a:solidFill>
                  <a:schemeClr val="tx1">
                    <a:lumMod val="65000"/>
                    <a:lumOff val="35000"/>
                  </a:schemeClr>
                </a:solidFill>
                <a:latin typeface="+mn-lt"/>
                <a:ea typeface="+mn-ea"/>
                <a:cs typeface="+mn-cs"/>
              </a:defRPr>
            </a:pPr>
            <a:endParaRPr lang="de-DE"/>
          </a:p>
        </c:txPr>
      </c:dTable>
      <c:spPr>
        <a:prstGeom prst="rect">
          <a:avLst/>
        </a:prstGeom>
        <a:noFill/>
        <a:ln>
          <a:noFill/>
        </a:ln>
      </c:spPr>
    </c:plotArea>
    <c:plotVisOnly val="0"/>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sz="1200"/>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'Institutional Projections'!$B$64</c:f>
          <c:strCache>
            <c:ptCount val="1"/>
            <c:pt idx="0">
              <c:v>Cost development - Status quo (subscription-based system)</c:v>
            </c:pt>
          </c:strCache>
        </c:strRef>
      </c:tx>
      <c:layout/>
      <c:overlay val="0"/>
      <c:spPr>
        <a:prstGeom prst="rect">
          <a:avLst/>
        </a:prstGeom>
        <a:noFill/>
        <a:ln>
          <a:noFill/>
        </a:ln>
      </c:spPr>
      <c:txPr>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endParaRPr lang="de-DE"/>
        </a:p>
      </c:txPr>
    </c:title>
    <c:autoTitleDeleted val="0"/>
    <c:plotArea>
      <c:layout/>
      <c:areaChart>
        <c:grouping val="stacked"/>
        <c:varyColors val="0"/>
        <c:ser>
          <c:idx val="10"/>
          <c:order val="7"/>
          <c:tx>
            <c:strRef>
              <c:f>'Institutional Projections'!$A$96</c:f>
              <c:strCache>
                <c:ptCount val="1"/>
                <c:pt idx="0">
                  <c:v>Area min/max</c:v>
                </c:pt>
              </c:strCache>
            </c:strRef>
          </c:tx>
          <c:spPr>
            <a:prstGeom prst="rect">
              <a:avLst/>
            </a:prstGeom>
            <a:noFill/>
            <a:ln w="25400">
              <a:noFill/>
            </a:ln>
          </c:spPr>
          <c:cat>
            <c:numRef>
              <c:f>'Institutional Projections'!$B$95:$L$95</c:f>
              <c:numCache>
                <c:formatCode>General</c:formatCode>
                <c:ptCount val="11"/>
                <c:pt idx="0">
                  <c:v>2015</c:v>
                </c:pt>
                <c:pt idx="1">
                  <c:v>2016</c:v>
                </c:pt>
                <c:pt idx="2">
                  <c:v>2017</c:v>
                </c:pt>
                <c:pt idx="3">
                  <c:v>2019</c:v>
                </c:pt>
                <c:pt idx="4">
                  <c:v>2020</c:v>
                </c:pt>
                <c:pt idx="5">
                  <c:v>2020</c:v>
                </c:pt>
                <c:pt idx="6">
                  <c:v>2021</c:v>
                </c:pt>
                <c:pt idx="7">
                  <c:v>2022</c:v>
                </c:pt>
                <c:pt idx="8">
                  <c:v>2023</c:v>
                </c:pt>
                <c:pt idx="9">
                  <c:v>2024</c:v>
                </c:pt>
                <c:pt idx="10">
                  <c:v>2025</c:v>
                </c:pt>
              </c:numCache>
            </c:numRef>
          </c:cat>
          <c:val>
            <c:numRef>
              <c:f>'Institutional Projections'!$B$96:$L$96</c:f>
              <c:numCache>
                <c:formatCode>General</c:formatCode>
                <c:ptCount val="11"/>
                <c:pt idx="0">
                  <c:v>0</c:v>
                </c:pt>
                <c:pt idx="1">
                  <c:v>0</c:v>
                </c:pt>
                <c:pt idx="2">
                  <c:v>0</c:v>
                </c:pt>
                <c:pt idx="3">
                  <c:v>0</c:v>
                </c:pt>
                <c:pt idx="4" formatCode="#,##0\ &quot;€&quot;">
                  <c:v>0</c:v>
                </c:pt>
                <c:pt idx="5" formatCode="#,##0\ &quot;€&quot;">
                  <c:v>0</c:v>
                </c:pt>
                <c:pt idx="6" formatCode="#,##0\ &quot;€&quot;">
                  <c:v>0</c:v>
                </c:pt>
                <c:pt idx="7" formatCode="#,##0\ &quot;€&quot;">
                  <c:v>0</c:v>
                </c:pt>
                <c:pt idx="8" formatCode="#,##0\ &quot;€&quot;">
                  <c:v>0</c:v>
                </c:pt>
                <c:pt idx="9" formatCode="#,##0\ &quot;€&quot;">
                  <c:v>0</c:v>
                </c:pt>
                <c:pt idx="10" formatCode="#,##0\ &quot;€&quot;">
                  <c:v>0</c:v>
                </c:pt>
              </c:numCache>
            </c:numRef>
          </c:val>
          <c:extLst>
            <c:ext xmlns:c16="http://schemas.microsoft.com/office/drawing/2014/chart" uri="{C3380CC4-5D6E-409C-BE32-E72D297353CC}">
              <c16:uniqueId val="{00000000-1409-4CC1-8CCD-E84E5C1F2009}"/>
            </c:ext>
          </c:extLst>
        </c:ser>
        <c:ser>
          <c:idx val="11"/>
          <c:order val="8"/>
          <c:tx>
            <c:strRef>
              <c:f>'Institutional Projections'!$A$93</c:f>
              <c:strCache>
                <c:ptCount val="1"/>
                <c:pt idx="0">
                  <c:v>DEAL-Possible costs difference</c:v>
                </c:pt>
              </c:strCache>
            </c:strRef>
          </c:tx>
          <c:spPr>
            <a:prstGeom prst="rect">
              <a:avLst/>
            </a:prstGeom>
            <a:pattFill prst="wdUpDiag">
              <a:fgClr>
                <a:schemeClr val="bg2">
                  <a:lumMod val="90000"/>
                </a:schemeClr>
              </a:fgClr>
              <a:bgClr>
                <a:schemeClr val="bg1">
                  <a:lumMod val="95000"/>
                </a:schemeClr>
              </a:bgClr>
            </a:pattFill>
            <a:ln>
              <a:noFill/>
            </a:ln>
          </c:spPr>
          <c:cat>
            <c:numRef>
              <c:f>'Institutional Projections'!$B$95:$L$95</c:f>
              <c:numCache>
                <c:formatCode>General</c:formatCode>
                <c:ptCount val="11"/>
                <c:pt idx="0">
                  <c:v>2015</c:v>
                </c:pt>
                <c:pt idx="1">
                  <c:v>2016</c:v>
                </c:pt>
                <c:pt idx="2">
                  <c:v>2017</c:v>
                </c:pt>
                <c:pt idx="3">
                  <c:v>2019</c:v>
                </c:pt>
                <c:pt idx="4">
                  <c:v>2020</c:v>
                </c:pt>
                <c:pt idx="5">
                  <c:v>2020</c:v>
                </c:pt>
                <c:pt idx="6">
                  <c:v>2021</c:v>
                </c:pt>
                <c:pt idx="7">
                  <c:v>2022</c:v>
                </c:pt>
                <c:pt idx="8">
                  <c:v>2023</c:v>
                </c:pt>
                <c:pt idx="9">
                  <c:v>2024</c:v>
                </c:pt>
                <c:pt idx="10">
                  <c:v>2025</c:v>
                </c:pt>
              </c:numCache>
            </c:numRef>
          </c:cat>
          <c:val>
            <c:numRef>
              <c:f>'Institutional Projections'!$B$93:$L$93</c:f>
              <c:numCache>
                <c:formatCode>General</c:formatCode>
                <c:ptCount val="11"/>
                <c:pt idx="5" formatCode="#,##0\ &quot;€&quot;">
                  <c:v>0</c:v>
                </c:pt>
                <c:pt idx="6" formatCode="#,##0\ &quot;€&quot;">
                  <c:v>0</c:v>
                </c:pt>
                <c:pt idx="7" formatCode="#,##0\ &quot;€&quot;">
                  <c:v>0</c:v>
                </c:pt>
                <c:pt idx="8" formatCode="#,##0\ &quot;€&quot;">
                  <c:v>0</c:v>
                </c:pt>
                <c:pt idx="9" formatCode="#,##0\ &quot;€&quot;">
                  <c:v>0</c:v>
                </c:pt>
                <c:pt idx="10" formatCode="#,##0\ &quot;€&quot;">
                  <c:v>0</c:v>
                </c:pt>
              </c:numCache>
            </c:numRef>
          </c:val>
          <c:extLst>
            <c:ext xmlns:c16="http://schemas.microsoft.com/office/drawing/2014/chart" uri="{C3380CC4-5D6E-409C-BE32-E72D297353CC}">
              <c16:uniqueId val="{00000001-1409-4CC1-8CCD-E84E5C1F2009}"/>
            </c:ext>
          </c:extLst>
        </c:ser>
        <c:dLbls>
          <c:showLegendKey val="0"/>
          <c:showVal val="0"/>
          <c:showCatName val="0"/>
          <c:showSerName val="0"/>
          <c:showPercent val="0"/>
          <c:showBubbleSize val="0"/>
        </c:dLbls>
        <c:axId val="1683597071"/>
        <c:axId val="1683585423"/>
      </c:areaChart>
      <c:lineChart>
        <c:grouping val="standard"/>
        <c:varyColors val="0"/>
        <c:ser>
          <c:idx val="0"/>
          <c:order val="0"/>
          <c:tx>
            <c:strRef>
              <c:f>'Institutional Projections'!$A$86</c:f>
              <c:strCache>
                <c:ptCount val="1"/>
                <c:pt idx="0">
                  <c:v>Subscriptions</c:v>
                </c:pt>
              </c:strCache>
            </c:strRef>
          </c:tx>
          <c:spPr>
            <a:prstGeom prst="rect">
              <a:avLst/>
            </a:prstGeom>
            <a:ln w="25400" cap="rnd">
              <a:solidFill>
                <a:srgbClr val="41AECB"/>
              </a:solidFill>
              <a:round/>
            </a:ln>
          </c:spPr>
          <c:marker>
            <c:symbol val="none"/>
          </c:marker>
          <c:cat>
            <c:numRef>
              <c:f>'Institutional Projections'!$B$85:$L$85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'Institutional Projections'!$B$86:$L$86</c:f>
              <c:numCache>
                <c:formatCode>#,##0\ "€"</c:formatCode>
                <c:ptCount val="11"/>
                <c:pt idx="0">
                  <c:v>0</c:v>
                </c:pt>
                <c:pt idx="1">
                  <c:v>0</c:v>
                </c:pt>
                <c:pt idx="2">
                  <c:v>0</c:v>
                </c:pt>
                <c:pt idx="3">
                  <c:v>0</c:v>
                </c:pt>
                <c:pt idx="4">
                  <c:v>0</c:v>
                </c:pt>
              </c:numCache>
            </c:numRef>
          </c:val>
          <c:smooth val="0"/>
          <c:extLst>
            <c:ext xmlns:c16="http://schemas.microsoft.com/office/drawing/2014/chart" uri="{C3380CC4-5D6E-409C-BE32-E72D297353CC}">
              <c16:uniqueId val="{00000002-1409-4CC1-8CCD-E84E5C1F2009}"/>
            </c:ext>
          </c:extLst>
        </c:ser>
        <c:ser>
          <c:idx val="1"/>
          <c:order val="1"/>
          <c:tx>
            <c:strRef>
              <c:f>'Institutional Projections'!$A$87</c:f>
              <c:strCache>
                <c:ptCount val="1"/>
                <c:pt idx="0">
                  <c:v>Subscriptions</c:v>
                </c:pt>
              </c:strCache>
            </c:strRef>
          </c:tx>
          <c:spPr>
            <a:prstGeom prst="rect">
              <a:avLst/>
            </a:prstGeom>
            <a:ln w="25400" cap="rnd">
              <a:solidFill>
                <a:srgbClr val="41AECB"/>
              </a:solidFill>
              <a:prstDash val="dash"/>
              <a:round/>
            </a:ln>
          </c:spPr>
          <c:marker>
            <c:symbol val="none"/>
          </c:marker>
          <c:cat>
            <c:numRef>
              <c:f>'Institutional Projections'!$B$85:$L$85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'Institutional Projections'!$B$87:$L$87</c:f>
              <c:numCache>
                <c:formatCode>General</c:formatCode>
                <c:ptCount val="11"/>
                <c:pt idx="4" formatCode="#,##0\ &quot;€&quot;">
                  <c:v>0</c:v>
                </c:pt>
                <c:pt idx="5" formatCode="#,##0\ &quot;€&quot;">
                  <c:v>0</c:v>
                </c:pt>
                <c:pt idx="6" formatCode="#,##0\ &quot;€&quot;">
                  <c:v>0</c:v>
                </c:pt>
                <c:pt idx="7" formatCode="#,##0\ &quot;€&quot;">
                  <c:v>0</c:v>
                </c:pt>
                <c:pt idx="8" formatCode="#,##0\ &quot;€&quot;">
                  <c:v>0</c:v>
                </c:pt>
                <c:pt idx="9" formatCode="#,##0\ &quot;€&quot;">
                  <c:v>0</c:v>
                </c:pt>
                <c:pt idx="10" formatCode="#,##0\ &quot;€&quot;">
                  <c:v>0</c:v>
                </c:pt>
              </c:numCache>
            </c:numRef>
          </c:val>
          <c:smooth val="0"/>
          <c:extLst>
            <c:ext xmlns:c16="http://schemas.microsoft.com/office/drawing/2014/chart" uri="{C3380CC4-5D6E-409C-BE32-E72D297353CC}">
              <c16:uniqueId val="{00000003-1409-4CC1-8CCD-E84E5C1F2009}"/>
            </c:ext>
          </c:extLst>
        </c:ser>
        <c:ser>
          <c:idx val="2"/>
          <c:order val="2"/>
          <c:tx>
            <c:strRef>
              <c:f>'Institutional Projections'!$A$88</c:f>
              <c:strCache>
                <c:ptCount val="1"/>
                <c:pt idx="0">
                  <c:v>APC expenditure</c:v>
                </c:pt>
              </c:strCache>
            </c:strRef>
          </c:tx>
          <c:spPr>
            <a:prstGeom prst="rect">
              <a:avLst/>
            </a:prstGeom>
            <a:ln w="25400" cap="rnd">
              <a:solidFill>
                <a:srgbClr val="ED5C2A"/>
              </a:solidFill>
              <a:round/>
            </a:ln>
          </c:spPr>
          <c:marker>
            <c:symbol val="none"/>
          </c:marker>
          <c:cat>
            <c:numRef>
              <c:f>'Institutional Projections'!$B$85:$L$85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'Institutional Projections'!$B$88:$L$88</c:f>
              <c:numCache>
                <c:formatCode>#,##0\ "€"</c:formatCode>
                <c:ptCount val="11"/>
                <c:pt idx="0">
                  <c:v>0</c:v>
                </c:pt>
                <c:pt idx="1">
                  <c:v>0</c:v>
                </c:pt>
                <c:pt idx="2">
                  <c:v>0</c:v>
                </c:pt>
                <c:pt idx="3">
                  <c:v>0</c:v>
                </c:pt>
                <c:pt idx="4">
                  <c:v>0</c:v>
                </c:pt>
              </c:numCache>
            </c:numRef>
          </c:val>
          <c:smooth val="0"/>
          <c:extLst>
            <c:ext xmlns:c16="http://schemas.microsoft.com/office/drawing/2014/chart" uri="{C3380CC4-5D6E-409C-BE32-E72D297353CC}">
              <c16:uniqueId val="{00000004-1409-4CC1-8CCD-E84E5C1F2009}"/>
            </c:ext>
          </c:extLst>
        </c:ser>
        <c:ser>
          <c:idx val="8"/>
          <c:order val="3"/>
          <c:tx>
            <c:strRef>
              <c:f>'Institutional Projections'!$A$89</c:f>
              <c:strCache>
                <c:ptCount val="1"/>
                <c:pt idx="0">
                  <c:v>APC expenditure</c:v>
                </c:pt>
              </c:strCache>
            </c:strRef>
          </c:tx>
          <c:spPr>
            <a:prstGeom prst="rect">
              <a:avLst/>
            </a:prstGeom>
            <a:ln w="25400" cap="rnd">
              <a:solidFill>
                <a:srgbClr val="ED5C2A"/>
              </a:solidFill>
              <a:prstDash val="dash"/>
              <a:round/>
            </a:ln>
          </c:spPr>
          <c:marker>
            <c:symbol val="none"/>
          </c:marker>
          <c:cat>
            <c:numRef>
              <c:f>'Institutional Projections'!$B$85:$L$85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'Institutional Projections'!$B$89:$L$89</c:f>
              <c:numCache>
                <c:formatCode>#,##0\ "€"</c:formatCode>
                <c:ptCount val="11"/>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1409-4CC1-8CCD-E84E5C1F2009}"/>
            </c:ext>
          </c:extLst>
        </c:ser>
        <c:ser>
          <c:idx val="3"/>
          <c:order val="4"/>
          <c:tx>
            <c:strRef>
              <c:f>'Institutional Projections'!$A$90</c:f>
              <c:strCache>
                <c:ptCount val="1"/>
                <c:pt idx="0">
                  <c:v>Total expenditure (Subscriptions + APCs)</c:v>
                </c:pt>
              </c:strCache>
            </c:strRef>
          </c:tx>
          <c:spPr>
            <a:prstGeom prst="rect">
              <a:avLst/>
            </a:prstGeom>
            <a:ln w="25400" cap="rnd">
              <a:solidFill>
                <a:srgbClr val="444342"/>
              </a:solidFill>
              <a:round/>
            </a:ln>
          </c:spPr>
          <c:marker>
            <c:symbol val="none"/>
          </c:marker>
          <c:cat>
            <c:numRef>
              <c:f>'Institutional Projections'!$B$85:$L$85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'Institutional Projections'!$B$90:$L$90</c:f>
              <c:numCache>
                <c:formatCode>#,##0\ "€"</c:formatCode>
                <c:ptCount val="11"/>
                <c:pt idx="0">
                  <c:v>0</c:v>
                </c:pt>
                <c:pt idx="1">
                  <c:v>0</c:v>
                </c:pt>
                <c:pt idx="2">
                  <c:v>0</c:v>
                </c:pt>
                <c:pt idx="3">
                  <c:v>0</c:v>
                </c:pt>
                <c:pt idx="4">
                  <c:v>0</c:v>
                </c:pt>
              </c:numCache>
            </c:numRef>
          </c:val>
          <c:smooth val="0"/>
          <c:extLst>
            <c:ext xmlns:c16="http://schemas.microsoft.com/office/drawing/2014/chart" uri="{C3380CC4-5D6E-409C-BE32-E72D297353CC}">
              <c16:uniqueId val="{00000006-1409-4CC1-8CCD-E84E5C1F2009}"/>
            </c:ext>
          </c:extLst>
        </c:ser>
        <c:ser>
          <c:idx val="9"/>
          <c:order val="5"/>
          <c:tx>
            <c:strRef>
              <c:f>'Institutional Projections'!$A$91</c:f>
              <c:strCache>
                <c:ptCount val="1"/>
                <c:pt idx="0">
                  <c:v>Total expenditure (Subscriptions + APCs)</c:v>
                </c:pt>
              </c:strCache>
            </c:strRef>
          </c:tx>
          <c:spPr>
            <a:prstGeom prst="rect">
              <a:avLst/>
            </a:prstGeom>
            <a:ln w="25400" cap="rnd">
              <a:solidFill>
                <a:srgbClr val="444342"/>
              </a:solidFill>
              <a:prstDash val="dash"/>
              <a:round/>
            </a:ln>
          </c:spPr>
          <c:marker>
            <c:symbol val="none"/>
          </c:marker>
          <c:cat>
            <c:numRef>
              <c:f>'Institutional Projections'!$B$85:$L$85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'Institutional Projections'!$B$91:$L$91</c:f>
              <c:numCache>
                <c:formatCode>General</c:formatCode>
                <c:ptCount val="11"/>
                <c:pt idx="3" formatCode="#,##0\ &quot;€&quot;">
                  <c:v>0</c:v>
                </c:pt>
                <c:pt idx="4" formatCode="#,##0\ &quot;€&quot;">
                  <c:v>0</c:v>
                </c:pt>
                <c:pt idx="5" formatCode="#,##0\ &quot;€&quot;">
                  <c:v>0</c:v>
                </c:pt>
                <c:pt idx="6" formatCode="#,##0\ &quot;€&quot;">
                  <c:v>0</c:v>
                </c:pt>
                <c:pt idx="7" formatCode="#,##0\ &quot;€&quot;">
                  <c:v>0</c:v>
                </c:pt>
                <c:pt idx="8" formatCode="#,##0\ &quot;€&quot;">
                  <c:v>0</c:v>
                </c:pt>
                <c:pt idx="9" formatCode="#,##0\ &quot;€&quot;">
                  <c:v>0</c:v>
                </c:pt>
                <c:pt idx="10" formatCode="#,##0\ &quot;€&quot;">
                  <c:v>0</c:v>
                </c:pt>
              </c:numCache>
            </c:numRef>
          </c:val>
          <c:smooth val="0"/>
          <c:extLst>
            <c:ext xmlns:c16="http://schemas.microsoft.com/office/drawing/2014/chart" uri="{C3380CC4-5D6E-409C-BE32-E72D297353CC}">
              <c16:uniqueId val="{00000007-1409-4CC1-8CCD-E84E5C1F2009}"/>
            </c:ext>
          </c:extLst>
        </c:ser>
        <c:ser>
          <c:idx val="4"/>
          <c:order val="6"/>
          <c:tx>
            <c:strRef>
              <c:f>'Institutional Projections'!$A$92</c:f>
              <c:strCache>
                <c:ptCount val="1"/>
                <c:pt idx="0">
                  <c:v>DEAL (reference)</c:v>
                </c:pt>
              </c:strCache>
            </c:strRef>
          </c:tx>
          <c:spPr>
            <a:prstGeom prst="rect">
              <a:avLst/>
            </a:prstGeom>
            <a:ln w="25400" cap="rnd">
              <a:solidFill>
                <a:srgbClr val="C3171C"/>
              </a:solidFill>
              <a:round/>
            </a:ln>
          </c:spPr>
          <c:marker>
            <c:symbol val="none"/>
          </c:marker>
          <c:dPt>
            <c:idx val="5"/>
            <c:bubble3D val="0"/>
            <c:spPr>
              <a:prstGeom prst="rect">
                <a:avLst/>
              </a:prstGeom>
              <a:ln w="25400" cap="rnd">
                <a:solidFill>
                  <a:srgbClr val="C3171C"/>
                </a:solidFill>
                <a:prstDash val="dash"/>
                <a:round/>
              </a:ln>
            </c:spPr>
            <c:extLst>
              <c:ext xmlns:c16="http://schemas.microsoft.com/office/drawing/2014/chart" uri="{C3380CC4-5D6E-409C-BE32-E72D297353CC}">
                <c16:uniqueId val="{00000009-1409-4CC1-8CCD-E84E5C1F2009}"/>
              </c:ext>
            </c:extLst>
          </c:dPt>
          <c:cat>
            <c:numRef>
              <c:f>'Institutional Projections'!$B$85:$L$85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'Institutional Projections'!$B$92:$L$92</c:f>
              <c:numCache>
                <c:formatCode>#,##0\ "€"</c:formatCode>
                <c:ptCount val="11"/>
                <c:pt idx="5">
                  <c:v>0</c:v>
                </c:pt>
                <c:pt idx="6">
                  <c:v>0</c:v>
                </c:pt>
                <c:pt idx="7">
                  <c:v>0</c:v>
                </c:pt>
                <c:pt idx="8">
                  <c:v>0</c:v>
                </c:pt>
                <c:pt idx="9">
                  <c:v>0</c:v>
                </c:pt>
                <c:pt idx="10">
                  <c:v>0</c:v>
                </c:pt>
              </c:numCache>
            </c:numRef>
          </c:val>
          <c:smooth val="0"/>
          <c:extLst>
            <c:ext xmlns:c16="http://schemas.microsoft.com/office/drawing/2014/chart" uri="{C3380CC4-5D6E-409C-BE32-E72D297353CC}">
              <c16:uniqueId val="{0000000A-1409-4CC1-8CCD-E84E5C1F2009}"/>
            </c:ext>
          </c:extLst>
        </c:ser>
        <c:dLbls>
          <c:showLegendKey val="0"/>
          <c:showVal val="0"/>
          <c:showCatName val="0"/>
          <c:showSerName val="0"/>
          <c:showPercent val="0"/>
          <c:showBubbleSize val="0"/>
        </c:dLbls>
        <c:marker val="1"/>
        <c:smooth val="0"/>
        <c:axId val="1915584767"/>
        <c:axId val="1915583103"/>
      </c:lineChart>
      <c:scatterChart>
        <c:scatterStyle val="lineMarker"/>
        <c:varyColors val="0"/>
        <c:ser>
          <c:idx val="5"/>
          <c:order val="9"/>
          <c:tx>
            <c:strRef>
              <c:f>'Institutional Projections'!$A$132</c:f>
              <c:strCache>
                <c:ptCount val="1"/>
                <c:pt idx="0">
                  <c:v>max</c:v>
                </c:pt>
              </c:strCache>
            </c:strRef>
          </c:tx>
          <c:spPr>
            <a:prstGeom prst="rect">
              <a:avLst/>
            </a:prstGeom>
            <a:ln w="19050">
              <a:noFill/>
            </a:ln>
          </c:spPr>
          <c:marker>
            <c:symbol val="none"/>
          </c:marker>
          <c:xVal>
            <c:numRef>
              <c:f>'Institutional Projections'!$B$85:$L$85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xVal>
          <c:yVal>
            <c:numRef>
              <c:f>'Institutional Projections'!$B$133</c:f>
              <c:numCache>
                <c:formatCode>_-* #,##0_-;\-* #,##0_-;_-* "-"??_-;_-@_-</c:formatCode>
                <c:ptCount val="1"/>
                <c:pt idx="0">
                  <c:v>0</c:v>
                </c:pt>
              </c:numCache>
            </c:numRef>
          </c:yVal>
          <c:smooth val="0"/>
          <c:extLst>
            <c:ext xmlns:c16="http://schemas.microsoft.com/office/drawing/2014/chart" uri="{C3380CC4-5D6E-409C-BE32-E72D297353CC}">
              <c16:uniqueId val="{0000000B-1409-4CC1-8CCD-E84E5C1F2009}"/>
            </c:ext>
          </c:extLst>
        </c:ser>
        <c:dLbls>
          <c:showLegendKey val="0"/>
          <c:showVal val="0"/>
          <c:showCatName val="0"/>
          <c:showSerName val="0"/>
          <c:showPercent val="0"/>
          <c:showBubbleSize val="0"/>
        </c:dLbls>
        <c:axId val="1683597071"/>
        <c:axId val="1683585423"/>
      </c:scatterChart>
      <c:catAx>
        <c:axId val="1915584767"/>
        <c:scaling>
          <c:orientation val="minMax"/>
        </c:scaling>
        <c:delete val="0"/>
        <c:axPos val="b"/>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1200" b="0" i="0" u="none" strike="noStrike">
                <a:solidFill>
                  <a:schemeClr val="tx1">
                    <a:lumMod val="65000"/>
                    <a:lumOff val="35000"/>
                  </a:schemeClr>
                </a:solidFill>
                <a:latin typeface="+mn-lt"/>
                <a:ea typeface="+mn-ea"/>
                <a:cs typeface="+mn-cs"/>
              </a:defRPr>
            </a:pPr>
            <a:endParaRPr lang="de-DE"/>
          </a:p>
        </c:txPr>
        <c:crossAx val="1915583103"/>
        <c:crosses val="autoZero"/>
        <c:auto val="1"/>
        <c:lblAlgn val="ctr"/>
        <c:lblOffset val="100"/>
        <c:noMultiLvlLbl val="0"/>
      </c:catAx>
      <c:valAx>
        <c:axId val="1915583103"/>
        <c:scaling>
          <c:orientation val="minMax"/>
          <c:min val="0"/>
        </c:scaling>
        <c:delete val="0"/>
        <c:axPos val="l"/>
        <c:majorGridlines>
          <c:spPr>
            <a:prstGeom prst="rect">
              <a:avLst/>
            </a:prstGeom>
            <a:ln w="9525" cap="flat" cmpd="sng" algn="ctr">
              <a:solidFill>
                <a:schemeClr val="tx1">
                  <a:lumMod val="15000"/>
                  <a:lumOff val="85000"/>
                </a:schemeClr>
              </a:solidFill>
              <a:round/>
            </a:ln>
          </c:spPr>
        </c:majorGridlines>
        <c:numFmt formatCode="#,##0\ &quot;€&quot;" sourceLinked="0"/>
        <c:majorTickMark val="none"/>
        <c:minorTickMark val="none"/>
        <c:tickLblPos val="nextTo"/>
        <c:spPr>
          <a:prstGeom prst="rect">
            <a:avLst/>
          </a:prstGeom>
          <a:noFill/>
          <a:ln>
            <a:noFill/>
          </a:ln>
        </c:spPr>
        <c:txPr>
          <a:bodyPr rot="-60000000" spcFirstLastPara="1" vertOverflow="ellipsis" vert="horz" wrap="square" anchor="ctr" anchorCtr="1"/>
          <a:lstStyle/>
          <a:p>
            <a:pPr>
              <a:defRPr sz="1200" b="0" i="0" u="none" strike="noStrike">
                <a:solidFill>
                  <a:schemeClr val="tx1">
                    <a:lumMod val="65000"/>
                    <a:lumOff val="35000"/>
                  </a:schemeClr>
                </a:solidFill>
                <a:latin typeface="+mn-lt"/>
                <a:ea typeface="+mn-ea"/>
                <a:cs typeface="+mn-cs"/>
              </a:defRPr>
            </a:pPr>
            <a:endParaRPr lang="de-DE"/>
          </a:p>
        </c:txPr>
        <c:crossAx val="1915584767"/>
        <c:crosses val="autoZero"/>
        <c:crossBetween val="between"/>
      </c:valAx>
      <c:valAx>
        <c:axId val="1683585423"/>
        <c:scaling>
          <c:orientation val="minMax"/>
        </c:scaling>
        <c:delete val="1"/>
        <c:axPos val="r"/>
        <c:numFmt formatCode="General" sourceLinked="1"/>
        <c:majorTickMark val="out"/>
        <c:minorTickMark val="none"/>
        <c:tickLblPos val="nextTo"/>
        <c:crossAx val="1683597071"/>
        <c:crosses val="max"/>
        <c:crossBetween val="between"/>
      </c:valAx>
      <c:dateAx>
        <c:axId val="1683597071"/>
        <c:scaling>
          <c:orientation val="minMax"/>
        </c:scaling>
        <c:delete val="0"/>
        <c:axPos val="t"/>
        <c:numFmt formatCode="General" sourceLinked="1"/>
        <c:majorTickMark val="none"/>
        <c:minorTickMark val="none"/>
        <c:tickLblPos val="none"/>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1200" b="0" i="0" u="none" strike="noStrike">
                <a:solidFill>
                  <a:schemeClr val="tx1">
                    <a:lumMod val="65000"/>
                    <a:lumOff val="35000"/>
                  </a:schemeClr>
                </a:solidFill>
                <a:latin typeface="+mn-lt"/>
                <a:ea typeface="+mn-ea"/>
                <a:cs typeface="+mn-cs"/>
              </a:defRPr>
            </a:pPr>
            <a:endParaRPr lang="de-DE"/>
          </a:p>
        </c:txPr>
        <c:crossAx val="1683585423"/>
        <c:crosses val="max"/>
        <c:auto val="0"/>
        <c:lblOffset val="100"/>
        <c:baseTimeUnit val="days"/>
      </c:dateAx>
      <c:spPr>
        <a:prstGeom prst="rect">
          <a:avLst/>
        </a:prstGeom>
        <a:noFill/>
        <a:ln>
          <a:noFill/>
        </a:ln>
      </c:spPr>
    </c:plotArea>
    <c:legend>
      <c:legendPos val="b"/>
      <c:legendEntry>
        <c:idx val="0"/>
        <c:delete val="1"/>
      </c:legendEntry>
      <c:legendEntry>
        <c:idx val="1"/>
        <c:delete val="1"/>
      </c:legendEntry>
      <c:legendEntry>
        <c:idx val="3"/>
        <c:delete val="1"/>
      </c:legendEntry>
      <c:legendEntry>
        <c:idx val="5"/>
        <c:delete val="1"/>
      </c:legendEntry>
      <c:legendEntry>
        <c:idx val="7"/>
        <c:delete val="1"/>
      </c:legendEntry>
      <c:legendEntry>
        <c:idx val="9"/>
        <c:delete val="1"/>
      </c:legendEntry>
      <c:layout/>
      <c:overlay val="0"/>
      <c:spPr>
        <a:prstGeom prst="rect">
          <a:avLst/>
        </a:prstGeom>
        <a:noFill/>
        <a:ln>
          <a:noFill/>
        </a:ln>
      </c:spPr>
      <c:txPr>
        <a:bodyPr rot="0" spcFirstLastPara="1" vertOverflow="ellipsis" vert="horz" wrap="square" anchor="ctr" anchorCtr="1"/>
        <a:lstStyle/>
        <a:p>
          <a:pPr>
            <a:defRPr sz="1200" b="0" i="0" u="none" strike="noStrike">
              <a:solidFill>
                <a:schemeClr val="tx1">
                  <a:lumMod val="65000"/>
                  <a:lumOff val="35000"/>
                </a:schemeClr>
              </a:solidFill>
              <a:latin typeface="+mn-lt"/>
              <a:ea typeface="+mn-ea"/>
              <a:cs typeface="+mn-cs"/>
            </a:defRPr>
          </a:pPr>
          <a:endParaRPr lang="de-DE"/>
        </a:p>
      </c:txPr>
    </c:legend>
    <c:plotVisOnly val="0"/>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sz="1200"/>
      </a:pPr>
      <a:endParaRPr lang="de-DE"/>
    </a:p>
  </c:tx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'Institutional Projections'!$B$65</c:f>
          <c:strCache>
            <c:ptCount val="1"/>
            <c:pt idx="0">
              <c:v>Cost avoidance / funding gap - Status quo (subscription-based system)</c:v>
            </c:pt>
          </c:strCache>
        </c:strRef>
      </c:tx>
      <c:overlay val="0"/>
      <c:spPr>
        <a:prstGeom prst="rect">
          <a:avLst/>
        </a:prstGeom>
        <a:noFill/>
        <a:ln>
          <a:noFill/>
        </a:ln>
      </c:spPr>
      <c:txPr>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'Institutional Projections'!$J$73</c:f>
              <c:strCache>
                <c:ptCount val="1"/>
                <c:pt idx="0">
                  <c:v>Annual</c:v>
                </c:pt>
              </c:strCache>
            </c:strRef>
          </c:tx>
          <c:spPr>
            <a:prstGeom prst="rect">
              <a:avLst/>
            </a:prstGeom>
            <a:solidFill>
              <a:srgbClr val="C5E0B4"/>
            </a:solidFill>
            <a:ln>
              <a:noFill/>
            </a:ln>
          </c:spPr>
          <c:invertIfNegative val="1"/>
          <c:cat>
            <c:numRef>
              <c:f>'Institutional Projections'!$I$75:$I$80</c:f>
              <c:numCache>
                <c:formatCode>General</c:formatCode>
                <c:ptCount val="6"/>
                <c:pt idx="0">
                  <c:v>2020</c:v>
                </c:pt>
                <c:pt idx="1">
                  <c:v>2021</c:v>
                </c:pt>
                <c:pt idx="2">
                  <c:v>2022</c:v>
                </c:pt>
                <c:pt idx="3">
                  <c:v>2023</c:v>
                </c:pt>
                <c:pt idx="4">
                  <c:v>2024</c:v>
                </c:pt>
                <c:pt idx="5">
                  <c:v>2025</c:v>
                </c:pt>
              </c:numCache>
            </c:numRef>
          </c:cat>
          <c:val>
            <c:numRef>
              <c:f>'Institutional Projections'!$J$75:$J$80</c:f>
              <c:numCache>
                <c:formatCode>#,##0\ "€"</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prstGeom prst="rect">
                    <a:avLst/>
                  </a:prstGeom>
                  <a:solidFill>
                    <a:srgbClr val="F07C7F"/>
                  </a:solidFill>
                  <a:ln>
                    <a:noFill/>
                  </a:ln>
                </c14:spPr>
              </c14:invertSolidFillFmt>
            </c:ext>
            <c:ext xmlns:c16="http://schemas.microsoft.com/office/drawing/2014/chart" uri="{C3380CC4-5D6E-409C-BE32-E72D297353CC}">
              <c16:uniqueId val="{00000000-6277-417A-84C9-A20F621B65F4}"/>
            </c:ext>
          </c:extLst>
        </c:ser>
        <c:ser>
          <c:idx val="1"/>
          <c:order val="1"/>
          <c:tx>
            <c:strRef>
              <c:f>'Institutional Projections'!$K$73</c:f>
              <c:strCache>
                <c:ptCount val="1"/>
                <c:pt idx="0">
                  <c:v>Cumulative</c:v>
                </c:pt>
              </c:strCache>
            </c:strRef>
          </c:tx>
          <c:spPr>
            <a:prstGeom prst="rect">
              <a:avLst/>
            </a:prstGeom>
            <a:solidFill>
              <a:srgbClr val="548235"/>
            </a:solidFill>
            <a:ln>
              <a:noFill/>
            </a:ln>
          </c:spPr>
          <c:invertIfNegative val="1"/>
          <c:cat>
            <c:numRef>
              <c:f>'Institutional Projections'!$I$75:$I$80</c:f>
              <c:numCache>
                <c:formatCode>General</c:formatCode>
                <c:ptCount val="6"/>
                <c:pt idx="0">
                  <c:v>2020</c:v>
                </c:pt>
                <c:pt idx="1">
                  <c:v>2021</c:v>
                </c:pt>
                <c:pt idx="2">
                  <c:v>2022</c:v>
                </c:pt>
                <c:pt idx="3">
                  <c:v>2023</c:v>
                </c:pt>
                <c:pt idx="4">
                  <c:v>2024</c:v>
                </c:pt>
                <c:pt idx="5">
                  <c:v>2025</c:v>
                </c:pt>
              </c:numCache>
            </c:numRef>
          </c:cat>
          <c:val>
            <c:numRef>
              <c:f>'Institutional Projections'!$K$75:$K$80</c:f>
              <c:numCache>
                <c:formatCode>#,##0\ "€"</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prstGeom prst="rect">
                    <a:avLst/>
                  </a:prstGeom>
                  <a:solidFill>
                    <a:srgbClr val="C3171C"/>
                  </a:solidFill>
                  <a:ln>
                    <a:noFill/>
                  </a:ln>
                </c14:spPr>
              </c14:invertSolidFillFmt>
            </c:ext>
            <c:ext xmlns:c16="http://schemas.microsoft.com/office/drawing/2014/chart" uri="{C3380CC4-5D6E-409C-BE32-E72D297353CC}">
              <c16:uniqueId val="{00000001-6277-417A-84C9-A20F621B65F4}"/>
            </c:ext>
          </c:extLst>
        </c:ser>
        <c:dLbls>
          <c:showLegendKey val="0"/>
          <c:showVal val="0"/>
          <c:showCatName val="0"/>
          <c:showSerName val="0"/>
          <c:showPercent val="0"/>
          <c:showBubbleSize val="0"/>
        </c:dLbls>
        <c:gapWidth val="182"/>
        <c:axId val="404244047"/>
        <c:axId val="404239055"/>
      </c:barChart>
      <c:dateAx>
        <c:axId val="404244047"/>
        <c:scaling>
          <c:orientation val="minMax"/>
        </c:scaling>
        <c:delete val="0"/>
        <c:axPos val="b"/>
        <c:numFmt formatCode="General" sourceLinked="1"/>
        <c:majorTickMark val="none"/>
        <c:minorTickMark val="none"/>
        <c:tickLblPos val="low"/>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1200" b="0" i="0" u="none" strike="noStrike">
                <a:solidFill>
                  <a:schemeClr val="tx1">
                    <a:lumMod val="65000"/>
                    <a:lumOff val="35000"/>
                  </a:schemeClr>
                </a:solidFill>
                <a:latin typeface="+mn-lt"/>
                <a:ea typeface="+mn-ea"/>
                <a:cs typeface="+mn-cs"/>
              </a:defRPr>
            </a:pPr>
            <a:endParaRPr lang="de-DE"/>
          </a:p>
        </c:txPr>
        <c:crossAx val="404239055"/>
        <c:crosses val="autoZero"/>
        <c:auto val="0"/>
        <c:lblOffset val="100"/>
        <c:baseTimeUnit val="days"/>
      </c:dateAx>
      <c:valAx>
        <c:axId val="404239055"/>
        <c:scaling>
          <c:orientation val="minMax"/>
        </c:scaling>
        <c:delete val="0"/>
        <c:axPos val="l"/>
        <c:majorGridlines>
          <c:spPr>
            <a:prstGeom prst="rect">
              <a:avLst/>
            </a:prstGeom>
            <a:ln w="9525" cap="flat" cmpd="sng" algn="ctr">
              <a:solidFill>
                <a:schemeClr val="tx1">
                  <a:lumMod val="15000"/>
                  <a:lumOff val="85000"/>
                </a:schemeClr>
              </a:solidFill>
              <a:round/>
            </a:ln>
          </c:spPr>
        </c:majorGridlines>
        <c:numFmt formatCode="#,##0\ &quot;€&quot;" sourceLinked="1"/>
        <c:majorTickMark val="none"/>
        <c:minorTickMark val="none"/>
        <c:tickLblPos val="nextTo"/>
        <c:spPr>
          <a:prstGeom prst="rect">
            <a:avLst/>
          </a:prstGeom>
          <a:noFill/>
          <a:ln>
            <a:noFill/>
          </a:ln>
        </c:spPr>
        <c:txPr>
          <a:bodyPr rot="-60000000" spcFirstLastPara="1" vertOverflow="ellipsis" vert="horz" wrap="square" anchor="ctr" anchorCtr="1"/>
          <a:lstStyle/>
          <a:p>
            <a:pPr>
              <a:defRPr sz="1200" b="0" i="0" u="none" strike="noStrike">
                <a:solidFill>
                  <a:schemeClr val="tx1">
                    <a:lumMod val="65000"/>
                    <a:lumOff val="35000"/>
                  </a:schemeClr>
                </a:solidFill>
                <a:latin typeface="+mn-lt"/>
                <a:ea typeface="+mn-ea"/>
                <a:cs typeface="+mn-cs"/>
              </a:defRPr>
            </a:pPr>
            <a:endParaRPr lang="de-DE"/>
          </a:p>
        </c:txPr>
        <c:crossAx val="404244047"/>
        <c:crossesAt val="2019"/>
        <c:crossBetween val="between"/>
      </c:valAx>
      <c:dTable>
        <c:showHorzBorder val="1"/>
        <c:showVertBorder val="1"/>
        <c:showOutline val="1"/>
        <c:showKeys val="0"/>
        <c:spPr>
          <a:prstGeom prst="rect">
            <a:avLst/>
          </a:prstGeom>
          <a:noFill/>
          <a:ln w="9525" cap="flat" cmpd="sng" algn="ctr">
            <a:solidFill>
              <a:schemeClr val="tx1">
                <a:lumMod val="15000"/>
                <a:lumOff val="85000"/>
              </a:schemeClr>
            </a:solidFill>
            <a:round/>
          </a:ln>
        </c:spPr>
        <c:txPr>
          <a:bodyPr rot="0" spcFirstLastPara="1" vertOverflow="ellipsis" vert="horz" wrap="square" anchor="ctr" anchorCtr="1"/>
          <a:lstStyle/>
          <a:p>
            <a:pPr rtl="0">
              <a:defRPr sz="1200" b="0" i="0" u="none" strike="noStrike">
                <a:ln>
                  <a:noFill/>
                </a:ln>
                <a:solidFill>
                  <a:schemeClr val="tx1">
                    <a:lumMod val="65000"/>
                    <a:lumOff val="35000"/>
                  </a:schemeClr>
                </a:solidFill>
                <a:latin typeface="+mn-lt"/>
                <a:ea typeface="+mn-ea"/>
                <a:cs typeface="+mn-cs"/>
              </a:defRPr>
            </a:pPr>
            <a:endParaRPr lang="de-DE"/>
          </a:p>
        </c:txPr>
      </c:dTable>
      <c:spPr>
        <a:prstGeom prst="rect">
          <a:avLst/>
        </a:prstGeom>
        <a:noFill/>
        <a:ln>
          <a:noFill/>
        </a:ln>
      </c:spPr>
    </c:plotArea>
    <c:plotVisOnly val="0"/>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sz="1200"/>
      </a:pPr>
      <a:endParaRPr lang="de-DE"/>
    </a:p>
  </c:tx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1907</xdr:colOff>
      <xdr:row>0</xdr:row>
      <xdr:rowOff>0</xdr:rowOff>
    </xdr:from>
    <xdr:to>
      <xdr:col>12</xdr:col>
      <xdr:colOff>733425</xdr:colOff>
      <xdr:row>2</xdr:row>
      <xdr:rowOff>227460</xdr:rowOff>
    </xdr:to>
    <xdr:pic>
      <xdr:nvPicPr>
        <xdr:cNvPr id="4" name="Grafik 1"/>
        <xdr:cNvPicPr>
          <a:picLocks noChangeAspect="1"/>
        </xdr:cNvPicPr>
      </xdr:nvPicPr>
      <xdr:blipFill>
        <a:blip xmlns:r="http://schemas.openxmlformats.org/officeDocument/2006/relationships" r:embed="rId1"/>
        <a:stretch/>
      </xdr:blipFill>
      <xdr:spPr bwMode="auto">
        <a:xfrm>
          <a:off x="2830832" y="0"/>
          <a:ext cx="8418194" cy="760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638175</xdr:colOff>
      <xdr:row>0</xdr:row>
      <xdr:rowOff>0</xdr:rowOff>
    </xdr:from>
    <xdr:to>
      <xdr:col>13</xdr:col>
      <xdr:colOff>883181</xdr:colOff>
      <xdr:row>4</xdr:row>
      <xdr:rowOff>8467</xdr:rowOff>
    </xdr:to>
    <xdr:pic>
      <xdr:nvPicPr>
        <xdr:cNvPr id="4" name="Grafik 1"/>
        <xdr:cNvPicPr>
          <a:picLocks noChangeAspect="1"/>
        </xdr:cNvPicPr>
      </xdr:nvPicPr>
      <xdr:blipFill>
        <a:blip xmlns:r="http://schemas.openxmlformats.org/officeDocument/2006/relationships" r:embed="rId1"/>
        <a:stretch/>
      </xdr:blipFill>
      <xdr:spPr bwMode="auto">
        <a:xfrm>
          <a:off x="3042709" y="0"/>
          <a:ext cx="11141605" cy="965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2337857</xdr:colOff>
      <xdr:row>0</xdr:row>
      <xdr:rowOff>21168</xdr:rowOff>
    </xdr:from>
    <xdr:to>
      <xdr:col>8</xdr:col>
      <xdr:colOff>5744</xdr:colOff>
      <xdr:row>3</xdr:row>
      <xdr:rowOff>76200</xdr:rowOff>
    </xdr:to>
    <xdr:pic>
      <xdr:nvPicPr>
        <xdr:cNvPr id="4" name="Grafik 1"/>
        <xdr:cNvPicPr>
          <a:picLocks noChangeAspect="1"/>
        </xdr:cNvPicPr>
      </xdr:nvPicPr>
      <xdr:blipFill>
        <a:blip xmlns:r="http://schemas.openxmlformats.org/officeDocument/2006/relationships" r:embed="rId1"/>
        <a:stretch/>
      </xdr:blipFill>
      <xdr:spPr bwMode="auto">
        <a:xfrm>
          <a:off x="2595032" y="21168"/>
          <a:ext cx="8964537" cy="797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88955</xdr:rowOff>
    </xdr:from>
    <xdr:to>
      <xdr:col>1</xdr:col>
      <xdr:colOff>7715520</xdr:colOff>
      <xdr:row>32</xdr:row>
      <xdr:rowOff>97594</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121508</xdr:rowOff>
    </xdr:from>
    <xdr:to>
      <xdr:col>1</xdr:col>
      <xdr:colOff>7712981</xdr:colOff>
      <xdr:row>60</xdr:row>
      <xdr:rowOff>145388</xdr:rowOff>
    </xdr:to>
    <xdr:graphicFrame macro="">
      <xdr:nvGraphicFramePr>
        <xdr:cNvPr id="6"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768771</xdr:colOff>
      <xdr:row>0</xdr:row>
      <xdr:rowOff>182033</xdr:rowOff>
    </xdr:from>
    <xdr:to>
      <xdr:col>2</xdr:col>
      <xdr:colOff>1251</xdr:colOff>
      <xdr:row>3</xdr:row>
      <xdr:rowOff>63500</xdr:rowOff>
    </xdr:to>
    <xdr:pic>
      <xdr:nvPicPr>
        <xdr:cNvPr id="7" name="Grafik 5"/>
        <xdr:cNvPicPr>
          <a:picLocks noChangeAspect="1"/>
        </xdr:cNvPicPr>
      </xdr:nvPicPr>
      <xdr:blipFill>
        <a:blip xmlns:r="http://schemas.openxmlformats.org/officeDocument/2006/relationships" r:embed="rId3"/>
        <a:stretch/>
      </xdr:blipFill>
      <xdr:spPr bwMode="auto">
        <a:xfrm>
          <a:off x="2323251" y="105833"/>
          <a:ext cx="6951540" cy="597747"/>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0.09295</cdr:x>
      <cdr:y>0.10033</cdr:y>
    </cdr:from>
    <cdr:to>
      <cdr:x>0.32339</cdr:x>
      <cdr:y>0.22219</cdr:y>
    </cdr:to>
    <cdr:sp macro="" textlink="">
      <cdr:nvSpPr>
        <cdr:cNvPr id="5" name="Textfeld 1"/>
        <cdr:cNvSpPr/>
      </cdr:nvSpPr>
      <cdr:spPr bwMode="auto">
        <a:xfrm xmlns:a="http://schemas.openxmlformats.org/drawingml/2006/main">
          <a:off x="809413" y="320645"/>
          <a:ext cx="2006600" cy="3894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defRPr/>
          </a:pPr>
          <a:endParaRPr lang="de-DE"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7</xdr:row>
      <xdr:rowOff>108858</xdr:rowOff>
    </xdr:from>
    <xdr:to>
      <xdr:col>1</xdr:col>
      <xdr:colOff>7713343</xdr:colOff>
      <xdr:row>29</xdr:row>
      <xdr:rowOff>69599</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13544</xdr:colOff>
      <xdr:row>35</xdr:row>
      <xdr:rowOff>129128</xdr:rowOff>
    </xdr:from>
    <xdr:to>
      <xdr:col>2</xdr:col>
      <xdr:colOff>12544</xdr:colOff>
      <xdr:row>57</xdr:row>
      <xdr:rowOff>133414</xdr:rowOff>
    </xdr:to>
    <xdr:graphicFrame macro="">
      <xdr:nvGraphicFramePr>
        <xdr:cNvPr id="6"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768771</xdr:colOff>
      <xdr:row>0</xdr:row>
      <xdr:rowOff>182033</xdr:rowOff>
    </xdr:from>
    <xdr:to>
      <xdr:col>2</xdr:col>
      <xdr:colOff>0</xdr:colOff>
      <xdr:row>3</xdr:row>
      <xdr:rowOff>63500</xdr:rowOff>
    </xdr:to>
    <xdr:pic>
      <xdr:nvPicPr>
        <xdr:cNvPr id="7" name="Grafik 5"/>
        <xdr:cNvPicPr>
          <a:picLocks noChangeAspect="1"/>
        </xdr:cNvPicPr>
      </xdr:nvPicPr>
      <xdr:blipFill>
        <a:blip xmlns:r="http://schemas.openxmlformats.org/officeDocument/2006/relationships" r:embed="rId3"/>
        <a:stretch/>
      </xdr:blipFill>
      <xdr:spPr bwMode="auto">
        <a:xfrm>
          <a:off x="2323251" y="105833"/>
          <a:ext cx="6951540" cy="597747"/>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0.09295</cdr:x>
      <cdr:y>0.10033</cdr:y>
    </cdr:from>
    <cdr:to>
      <cdr:x>0.32339</cdr:x>
      <cdr:y>0.22219</cdr:y>
    </cdr:to>
    <cdr:sp macro="" textlink="">
      <cdr:nvSpPr>
        <cdr:cNvPr id="5" name="Textfeld 1"/>
        <cdr:cNvSpPr/>
      </cdr:nvSpPr>
      <cdr:spPr bwMode="auto">
        <a:xfrm xmlns:a="http://schemas.openxmlformats.org/drawingml/2006/main">
          <a:off x="809413" y="320645"/>
          <a:ext cx="2006600" cy="3894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defRPr/>
          </a:pPr>
          <a:endParaRPr lang="de-DE"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B1:N28"/>
  <sheetViews>
    <sheetView showGridLines="0" showRowColHeaders="0" tabSelected="1" workbookViewId="0">
      <selection activeCell="B5" sqref="B5"/>
    </sheetView>
  </sheetViews>
  <sheetFormatPr baseColWidth="10" defaultColWidth="11.5703125" defaultRowHeight="15" x14ac:dyDescent="0.25"/>
  <cols>
    <col min="1" max="1" width="4.42578125" style="1" bestFit="1" customWidth="1"/>
    <col min="2" max="2" width="38" style="1" bestFit="1" customWidth="1"/>
    <col min="3" max="3" width="17.7109375" style="1" bestFit="1" customWidth="1"/>
    <col min="4" max="4" width="5" style="1" bestFit="1" customWidth="1"/>
    <col min="5" max="5" width="11.5703125" style="1" bestFit="1"/>
    <col min="6" max="16384" width="11.5703125" style="1"/>
  </cols>
  <sheetData>
    <row r="1" spans="2:14" ht="21" x14ac:dyDescent="0.35">
      <c r="B1" s="2" t="s">
        <v>181</v>
      </c>
    </row>
    <row r="2" spans="2:14" ht="21" x14ac:dyDescent="0.35">
      <c r="B2" s="3" t="s">
        <v>0</v>
      </c>
    </row>
    <row r="3" spans="2:14" ht="18.75" x14ac:dyDescent="0.3">
      <c r="B3" s="4" t="s">
        <v>1</v>
      </c>
    </row>
    <row r="4" spans="2:14" x14ac:dyDescent="0.25">
      <c r="B4" s="5">
        <v>44404</v>
      </c>
    </row>
    <row r="5" spans="2:14" ht="14.45" customHeight="1" x14ac:dyDescent="0.25">
      <c r="B5" s="115"/>
      <c r="C5" s="6"/>
      <c r="D5" s="6"/>
      <c r="E5" s="6"/>
      <c r="F5" s="6"/>
      <c r="G5" s="6"/>
      <c r="H5" s="6"/>
      <c r="I5" s="6"/>
      <c r="J5" s="6"/>
      <c r="K5" s="6"/>
      <c r="L5" s="6"/>
      <c r="M5" s="6"/>
      <c r="N5" s="6"/>
    </row>
    <row r="6" spans="2:14" ht="36.6" customHeight="1" x14ac:dyDescent="0.25">
      <c r="B6" s="116" t="s">
        <v>213</v>
      </c>
      <c r="C6" s="116"/>
      <c r="D6" s="116"/>
      <c r="E6" s="116"/>
      <c r="F6" s="116"/>
      <c r="G6" s="116"/>
      <c r="H6" s="116"/>
      <c r="I6" s="116"/>
      <c r="J6" s="116"/>
      <c r="K6" s="116"/>
      <c r="L6" s="116"/>
      <c r="M6" s="116"/>
    </row>
    <row r="7" spans="2:14" ht="14.45" customHeight="1" x14ac:dyDescent="0.25"/>
    <row r="8" spans="2:14" ht="16.5" customHeight="1" x14ac:dyDescent="0.25">
      <c r="B8" s="100" t="s">
        <v>183</v>
      </c>
    </row>
    <row r="9" spans="2:14" ht="36.6" customHeight="1" x14ac:dyDescent="0.25">
      <c r="B9" s="117" t="s">
        <v>171</v>
      </c>
      <c r="C9" s="117"/>
      <c r="D9" s="117"/>
      <c r="E9" s="117"/>
      <c r="F9" s="117"/>
      <c r="G9" s="117"/>
      <c r="H9" s="117"/>
      <c r="I9" s="117"/>
      <c r="J9" s="117"/>
      <c r="K9" s="117"/>
      <c r="L9" s="117"/>
      <c r="M9" s="117"/>
    </row>
    <row r="10" spans="2:14" ht="15" customHeight="1" x14ac:dyDescent="0.25">
      <c r="B10" s="8"/>
      <c r="C10" s="8"/>
      <c r="D10" s="8"/>
      <c r="E10" s="8"/>
      <c r="F10" s="8"/>
      <c r="G10" s="8"/>
      <c r="H10" s="8"/>
      <c r="I10" s="8"/>
      <c r="J10" s="8"/>
      <c r="K10" s="8"/>
      <c r="L10" s="8"/>
      <c r="M10" s="8"/>
    </row>
    <row r="11" spans="2:14" ht="48.75" customHeight="1" x14ac:dyDescent="0.25">
      <c r="B11" s="117" t="s">
        <v>2</v>
      </c>
      <c r="C11" s="117"/>
      <c r="D11" s="117"/>
      <c r="E11" s="117"/>
      <c r="F11" s="117"/>
      <c r="G11" s="117"/>
      <c r="H11" s="117"/>
      <c r="I11" s="117"/>
      <c r="J11" s="117"/>
      <c r="K11" s="117"/>
      <c r="L11" s="117"/>
      <c r="M11" s="117"/>
    </row>
    <row r="12" spans="2:14" ht="48.75" customHeight="1" x14ac:dyDescent="0.25">
      <c r="B12" s="117" t="s">
        <v>184</v>
      </c>
      <c r="C12" s="117"/>
      <c r="D12" s="117"/>
      <c r="E12" s="117"/>
      <c r="F12" s="117"/>
      <c r="G12" s="117"/>
      <c r="H12" s="117"/>
      <c r="I12" s="117"/>
      <c r="J12" s="117"/>
      <c r="K12" s="117"/>
      <c r="L12" s="117"/>
      <c r="M12" s="117"/>
    </row>
    <row r="13" spans="2:14" ht="25.15" customHeight="1" x14ac:dyDescent="0.25">
      <c r="B13" s="117" t="s">
        <v>185</v>
      </c>
      <c r="C13" s="117"/>
      <c r="D13" s="117"/>
      <c r="E13" s="117"/>
      <c r="F13" s="117"/>
      <c r="G13" s="117"/>
      <c r="H13" s="117"/>
      <c r="I13" s="117"/>
      <c r="J13" s="117"/>
      <c r="K13" s="117"/>
      <c r="L13" s="117"/>
      <c r="M13" s="117"/>
    </row>
    <row r="14" spans="2:14" ht="72" customHeight="1" x14ac:dyDescent="0.25">
      <c r="B14" s="120" t="s">
        <v>186</v>
      </c>
      <c r="C14" s="121"/>
      <c r="D14" s="121"/>
      <c r="E14" s="121"/>
      <c r="F14" s="121"/>
      <c r="G14" s="121"/>
      <c r="H14" s="121"/>
      <c r="I14" s="121"/>
      <c r="J14" s="121"/>
      <c r="K14" s="121"/>
      <c r="L14" s="121"/>
      <c r="M14" s="121"/>
    </row>
    <row r="15" spans="2:14" ht="15" customHeight="1" x14ac:dyDescent="0.25">
      <c r="B15" s="9"/>
      <c r="C15" s="9"/>
      <c r="D15" s="9"/>
      <c r="E15" s="9"/>
      <c r="F15" s="9"/>
      <c r="G15" s="9"/>
      <c r="H15" s="9"/>
      <c r="I15" s="9"/>
      <c r="J15" s="9"/>
      <c r="K15" s="9"/>
      <c r="L15" s="9"/>
      <c r="M15" s="9"/>
    </row>
    <row r="16" spans="2:14" ht="19.899999999999999" customHeight="1" x14ac:dyDescent="0.25">
      <c r="B16" s="100" t="s">
        <v>3</v>
      </c>
    </row>
    <row r="17" spans="2:13" ht="38.450000000000003" customHeight="1" x14ac:dyDescent="0.25">
      <c r="B17" s="117" t="s">
        <v>187</v>
      </c>
      <c r="C17" s="117"/>
      <c r="D17" s="117"/>
      <c r="E17" s="117"/>
      <c r="F17" s="117"/>
      <c r="G17" s="117"/>
      <c r="H17" s="117"/>
      <c r="I17" s="117"/>
      <c r="J17" s="117"/>
      <c r="K17" s="117"/>
      <c r="L17" s="117"/>
      <c r="M17" s="117"/>
    </row>
    <row r="18" spans="2:13" ht="82.5" customHeight="1" x14ac:dyDescent="0.25">
      <c r="B18" s="118" t="s">
        <v>188</v>
      </c>
      <c r="C18" s="119"/>
      <c r="D18" s="119"/>
      <c r="E18" s="119"/>
      <c r="F18" s="119"/>
      <c r="G18" s="119"/>
      <c r="H18" s="119"/>
      <c r="I18" s="119"/>
      <c r="J18" s="119"/>
      <c r="K18" s="119"/>
      <c r="L18" s="119"/>
      <c r="M18" s="119"/>
    </row>
    <row r="19" spans="2:13" ht="39" customHeight="1" x14ac:dyDescent="0.25">
      <c r="B19" s="117" t="s">
        <v>189</v>
      </c>
      <c r="C19" s="117"/>
      <c r="D19" s="117"/>
      <c r="E19" s="117"/>
      <c r="F19" s="117"/>
      <c r="G19" s="117"/>
      <c r="H19" s="117"/>
      <c r="I19" s="117"/>
      <c r="J19" s="117"/>
      <c r="K19" s="117"/>
      <c r="L19" s="117"/>
      <c r="M19" s="117"/>
    </row>
    <row r="20" spans="2:13" ht="14.45" customHeight="1" x14ac:dyDescent="0.25">
      <c r="B20" s="8"/>
      <c r="C20" s="8"/>
      <c r="D20" s="8"/>
      <c r="E20" s="8"/>
      <c r="F20" s="8"/>
      <c r="G20" s="8"/>
      <c r="H20" s="8"/>
      <c r="I20" s="8"/>
      <c r="J20" s="8"/>
      <c r="K20" s="8"/>
      <c r="L20" s="8"/>
      <c r="M20" s="8"/>
    </row>
    <row r="21" spans="2:13" ht="21.6" customHeight="1" x14ac:dyDescent="0.25">
      <c r="B21" s="100" t="s">
        <v>4</v>
      </c>
    </row>
    <row r="22" spans="2:13" ht="33.6" customHeight="1" x14ac:dyDescent="0.25">
      <c r="B22" s="86" t="s">
        <v>5</v>
      </c>
      <c r="C22" s="118" t="s">
        <v>6</v>
      </c>
      <c r="D22" s="119"/>
      <c r="E22" s="119"/>
      <c r="F22" s="119"/>
      <c r="G22" s="119"/>
      <c r="H22" s="119"/>
      <c r="I22" s="119"/>
      <c r="J22" s="119"/>
      <c r="K22" s="119"/>
      <c r="L22" s="119"/>
      <c r="M22" s="119"/>
    </row>
    <row r="23" spans="2:13" ht="33.6" customHeight="1" x14ac:dyDescent="0.25">
      <c r="B23" s="87" t="s">
        <v>7</v>
      </c>
      <c r="C23" s="118" t="s">
        <v>172</v>
      </c>
      <c r="D23" s="119"/>
      <c r="E23" s="119"/>
      <c r="F23" s="119"/>
      <c r="G23" s="119"/>
      <c r="H23" s="119"/>
      <c r="I23" s="119"/>
      <c r="J23" s="119"/>
      <c r="K23" s="119"/>
      <c r="L23" s="119"/>
      <c r="M23" s="119"/>
    </row>
    <row r="24" spans="2:13" ht="33.6" customHeight="1" x14ac:dyDescent="0.25">
      <c r="B24" s="88" t="s">
        <v>8</v>
      </c>
      <c r="C24" s="118" t="s">
        <v>216</v>
      </c>
      <c r="D24" s="119"/>
      <c r="E24" s="119"/>
      <c r="F24" s="119"/>
      <c r="G24" s="119"/>
      <c r="H24" s="119"/>
      <c r="I24" s="119"/>
      <c r="J24" s="119"/>
      <c r="K24" s="119"/>
      <c r="L24" s="119"/>
      <c r="M24" s="119"/>
    </row>
    <row r="25" spans="2:13" ht="33.6" customHeight="1" x14ac:dyDescent="0.25">
      <c r="B25" s="89" t="s">
        <v>9</v>
      </c>
      <c r="C25" s="118" t="s">
        <v>217</v>
      </c>
      <c r="D25" s="119"/>
      <c r="E25" s="119"/>
      <c r="F25" s="119"/>
      <c r="G25" s="119"/>
      <c r="H25" s="119"/>
      <c r="I25" s="119"/>
      <c r="J25" s="119"/>
      <c r="K25" s="119"/>
      <c r="L25" s="119"/>
      <c r="M25" s="119"/>
    </row>
    <row r="28" spans="2:13" x14ac:dyDescent="0.25">
      <c r="B28" s="7"/>
    </row>
  </sheetData>
  <sheetProtection algorithmName="SHA-512" hashValue="0PyZ2wQhze+hr9tD798Yjn6lOH1IovjR51Oiy7ZwpwJyJINhhS3zzJ6zKZPLbGhnoS1+hk6kLYjACLbW3hf4dw==" saltValue="WZR4KSaNU86uHNqVbAwoag==" spinCount="100000" sheet="1" objects="1" scenarios="1" selectLockedCells="1"/>
  <mergeCells count="13">
    <mergeCell ref="C23:M23"/>
    <mergeCell ref="C24:M24"/>
    <mergeCell ref="C25:M25"/>
    <mergeCell ref="B14:M14"/>
    <mergeCell ref="B17:M17"/>
    <mergeCell ref="B18:M18"/>
    <mergeCell ref="B19:M19"/>
    <mergeCell ref="C22:M22"/>
    <mergeCell ref="B6:M6"/>
    <mergeCell ref="B9:M9"/>
    <mergeCell ref="B11:M11"/>
    <mergeCell ref="B12:M12"/>
    <mergeCell ref="B13:M13"/>
  </mergeCells>
  <hyperlinks>
    <hyperlink ref="B22" location="Methodology!A1" display="Methodology"/>
    <hyperlink ref="B23" location="Settings!A1" display="Settings"/>
    <hyperlink ref="B24" location="'Group Projections'!A1" display="Group Projections"/>
    <hyperlink ref="B25" location="'Institutional Projections'!A1" display="Institutional Projections"/>
  </hyperlinks>
  <pageMargins left="0.25" right="0.25" top="0.75" bottom="0.75"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444342"/>
    <pageSetUpPr fitToPage="1"/>
  </sheetPr>
  <dimension ref="B1:N139"/>
  <sheetViews>
    <sheetView showGridLines="0" showRowColHeaders="0" zoomScaleNormal="100" workbookViewId="0">
      <selection activeCell="B5" sqref="B5"/>
    </sheetView>
  </sheetViews>
  <sheetFormatPr baseColWidth="10" defaultColWidth="11.5703125" defaultRowHeight="15" x14ac:dyDescent="0.25"/>
  <cols>
    <col min="1" max="1" width="3.28515625" style="23" bestFit="1" customWidth="1"/>
    <col min="2" max="2" width="35" style="23" bestFit="1" customWidth="1"/>
    <col min="3" max="14" width="14.42578125" style="23" bestFit="1" customWidth="1"/>
    <col min="15" max="16384" width="11.5703125" style="23"/>
  </cols>
  <sheetData>
    <row r="1" spans="2:14" ht="21" x14ac:dyDescent="0.25">
      <c r="B1" s="101" t="s">
        <v>181</v>
      </c>
    </row>
    <row r="2" spans="2:14" ht="21" x14ac:dyDescent="0.25">
      <c r="B2" s="102" t="s">
        <v>0</v>
      </c>
    </row>
    <row r="3" spans="2:14" ht="18.75" x14ac:dyDescent="0.25">
      <c r="B3" s="103" t="s">
        <v>5</v>
      </c>
    </row>
    <row r="4" spans="2:14" x14ac:dyDescent="0.25">
      <c r="B4" s="104">
        <f>ReadMe!B4</f>
        <v>44404</v>
      </c>
    </row>
    <row r="5" spans="2:14" ht="13.9" customHeight="1" x14ac:dyDescent="0.25"/>
    <row r="6" spans="2:14" ht="21.6" customHeight="1" x14ac:dyDescent="0.25">
      <c r="B6" s="118" t="s">
        <v>218</v>
      </c>
      <c r="C6" s="119"/>
      <c r="D6" s="119"/>
      <c r="E6" s="119"/>
      <c r="F6" s="119"/>
      <c r="G6" s="119"/>
      <c r="H6" s="119"/>
      <c r="I6" s="119"/>
      <c r="J6" s="119"/>
      <c r="K6" s="119"/>
      <c r="L6" s="119"/>
      <c r="M6" s="119"/>
      <c r="N6" s="119"/>
    </row>
    <row r="7" spans="2:14" ht="13.9" customHeight="1" x14ac:dyDescent="0.25"/>
    <row r="8" spans="2:14" ht="16.899999999999999" customHeight="1" x14ac:dyDescent="0.25">
      <c r="B8" s="122" t="s">
        <v>10</v>
      </c>
      <c r="C8" s="122"/>
      <c r="D8" s="122"/>
      <c r="E8" s="122"/>
      <c r="F8" s="122"/>
      <c r="G8" s="122"/>
      <c r="H8" s="122"/>
      <c r="I8" s="122"/>
      <c r="J8" s="122"/>
      <c r="K8" s="122"/>
      <c r="L8" s="122"/>
      <c r="M8" s="122"/>
      <c r="N8" s="122"/>
    </row>
    <row r="9" spans="2:14" ht="42" customHeight="1" x14ac:dyDescent="0.25">
      <c r="B9" s="118" t="s">
        <v>192</v>
      </c>
      <c r="C9" s="119"/>
      <c r="D9" s="119"/>
      <c r="E9" s="119"/>
      <c r="F9" s="119"/>
      <c r="G9" s="119"/>
      <c r="H9" s="119"/>
      <c r="I9" s="119"/>
      <c r="J9" s="119"/>
      <c r="K9" s="119"/>
      <c r="L9" s="119"/>
      <c r="M9" s="119"/>
      <c r="N9" s="119"/>
    </row>
    <row r="10" spans="2:14" ht="14.45" customHeight="1" x14ac:dyDescent="0.25">
      <c r="B10" s="94"/>
      <c r="C10" s="94"/>
      <c r="D10" s="94"/>
      <c r="E10" s="94"/>
      <c r="F10" s="94"/>
      <c r="G10" s="94"/>
      <c r="H10" s="94"/>
      <c r="I10" s="94"/>
      <c r="J10" s="94"/>
      <c r="K10" s="94"/>
      <c r="L10" s="94"/>
      <c r="M10" s="94"/>
      <c r="N10" s="94"/>
    </row>
    <row r="11" spans="2:14" x14ac:dyDescent="0.25">
      <c r="B11" s="123" t="s">
        <v>11</v>
      </c>
      <c r="C11" s="123"/>
      <c r="D11" s="123"/>
      <c r="E11" s="123"/>
      <c r="F11" s="123"/>
      <c r="G11" s="123"/>
      <c r="H11" s="123"/>
      <c r="I11" s="123"/>
      <c r="J11" s="123"/>
      <c r="K11" s="123"/>
      <c r="L11" s="123"/>
      <c r="M11" s="123"/>
      <c r="N11" s="123"/>
    </row>
    <row r="12" spans="2:14" ht="42.6" customHeight="1" x14ac:dyDescent="0.25">
      <c r="B12" s="118" t="s">
        <v>219</v>
      </c>
      <c r="C12" s="119"/>
      <c r="D12" s="119"/>
      <c r="E12" s="119"/>
      <c r="F12" s="119"/>
      <c r="G12" s="119"/>
      <c r="H12" s="119"/>
      <c r="I12" s="119"/>
      <c r="J12" s="119"/>
      <c r="K12" s="119"/>
      <c r="L12" s="119"/>
      <c r="M12" s="119"/>
      <c r="N12" s="119"/>
    </row>
    <row r="13" spans="2:14" ht="42.6" customHeight="1" x14ac:dyDescent="0.25">
      <c r="B13" s="118" t="s">
        <v>12</v>
      </c>
      <c r="C13" s="119"/>
      <c r="D13" s="119"/>
      <c r="E13" s="119"/>
      <c r="F13" s="119"/>
      <c r="G13" s="119"/>
      <c r="H13" s="119"/>
      <c r="I13" s="119"/>
      <c r="J13" s="119"/>
      <c r="K13" s="119"/>
      <c r="L13" s="119"/>
      <c r="M13" s="119"/>
      <c r="N13" s="119"/>
    </row>
    <row r="14" spans="2:14" ht="14.45" customHeight="1" x14ac:dyDescent="0.25"/>
    <row r="15" spans="2:14" ht="24" customHeight="1" x14ac:dyDescent="0.25">
      <c r="B15" s="124" t="s">
        <v>13</v>
      </c>
      <c r="C15" s="124" t="s">
        <v>14</v>
      </c>
      <c r="D15" s="124"/>
      <c r="E15" s="124"/>
      <c r="F15" s="124"/>
      <c r="G15" s="124"/>
      <c r="H15" s="125" t="s">
        <v>193</v>
      </c>
      <c r="I15" s="124" t="s">
        <v>15</v>
      </c>
      <c r="J15" s="124"/>
      <c r="K15" s="124"/>
      <c r="L15" s="124"/>
      <c r="M15" s="124"/>
      <c r="N15" s="124"/>
    </row>
    <row r="16" spans="2:14" ht="24" customHeight="1" x14ac:dyDescent="0.25">
      <c r="B16" s="124"/>
      <c r="C16" s="96">
        <v>2015</v>
      </c>
      <c r="D16" s="96">
        <v>2016</v>
      </c>
      <c r="E16" s="96">
        <v>2017</v>
      </c>
      <c r="F16" s="96">
        <v>2018</v>
      </c>
      <c r="G16" s="96">
        <v>2019</v>
      </c>
      <c r="H16" s="126"/>
      <c r="I16" s="96">
        <v>2020</v>
      </c>
      <c r="J16" s="96">
        <v>2021</v>
      </c>
      <c r="K16" s="96">
        <v>2022</v>
      </c>
      <c r="L16" s="96">
        <v>2023</v>
      </c>
      <c r="M16" s="96">
        <v>2024</v>
      </c>
      <c r="N16" s="96">
        <v>2025</v>
      </c>
    </row>
    <row r="17" spans="2:14" ht="14.45" customHeight="1" x14ac:dyDescent="0.25">
      <c r="B17" s="10" t="s">
        <v>16</v>
      </c>
      <c r="C17" s="11">
        <f>C20-C18-C19</f>
        <v>9597</v>
      </c>
      <c r="D17" s="11">
        <f>D20-D18-D19</f>
        <v>10167</v>
      </c>
      <c r="E17" s="11">
        <f>E20-E18-E19</f>
        <v>9929</v>
      </c>
      <c r="F17" s="11">
        <f>F20-F18-F19</f>
        <v>9769</v>
      </c>
      <c r="G17" s="11">
        <f>G20-G18-G19</f>
        <v>9455</v>
      </c>
      <c r="H17" s="12">
        <f t="shared" ref="H17:H61" si="0">_xlfn.RRI(3,D17,G17)</f>
        <v>-2.3910659857969918E-2</v>
      </c>
      <c r="I17" s="13">
        <f t="shared" ref="I17:N17" si="1">I20-I18-I19</f>
        <v>9151</v>
      </c>
      <c r="J17" s="13">
        <f t="shared" si="1"/>
        <v>8808</v>
      </c>
      <c r="K17" s="13">
        <f t="shared" si="1"/>
        <v>8422</v>
      </c>
      <c r="L17" s="13">
        <f t="shared" si="1"/>
        <v>7989</v>
      </c>
      <c r="M17" s="13">
        <f t="shared" si="1"/>
        <v>7504</v>
      </c>
      <c r="N17" s="13">
        <f t="shared" si="1"/>
        <v>6964</v>
      </c>
    </row>
    <row r="18" spans="2:14" ht="14.45" customHeight="1" x14ac:dyDescent="0.25">
      <c r="B18" s="10" t="s">
        <v>17</v>
      </c>
      <c r="C18" s="11">
        <v>2595</v>
      </c>
      <c r="D18" s="11">
        <v>3086</v>
      </c>
      <c r="E18" s="11">
        <v>3550</v>
      </c>
      <c r="F18" s="11">
        <v>3548</v>
      </c>
      <c r="G18" s="11">
        <v>3751</v>
      </c>
      <c r="H18" s="12">
        <f t="shared" si="0"/>
        <v>6.7211215840421001E-2</v>
      </c>
      <c r="I18" s="13">
        <f t="shared" ref="I18:I20" si="2">ROUND(G18*(1+$H18),0)</f>
        <v>4003</v>
      </c>
      <c r="J18" s="13">
        <f t="shared" ref="J18:N20" si="3">ROUND(I18*(1+$H18),0)</f>
        <v>4272</v>
      </c>
      <c r="K18" s="13">
        <f t="shared" si="3"/>
        <v>4559</v>
      </c>
      <c r="L18" s="13">
        <f t="shared" si="3"/>
        <v>4865</v>
      </c>
      <c r="M18" s="13">
        <f t="shared" si="3"/>
        <v>5192</v>
      </c>
      <c r="N18" s="13">
        <f t="shared" si="3"/>
        <v>5541</v>
      </c>
    </row>
    <row r="19" spans="2:14" ht="14.45" customHeight="1" x14ac:dyDescent="0.25">
      <c r="B19" s="10" t="s">
        <v>18</v>
      </c>
      <c r="C19" s="11">
        <v>500</v>
      </c>
      <c r="D19" s="11">
        <v>571</v>
      </c>
      <c r="E19" s="11">
        <v>613</v>
      </c>
      <c r="F19" s="11">
        <v>715</v>
      </c>
      <c r="G19" s="11">
        <v>914</v>
      </c>
      <c r="H19" s="12">
        <f t="shared" si="0"/>
        <v>0.16977776610258211</v>
      </c>
      <c r="I19" s="13">
        <f t="shared" ref="I19:N19" si="4">ROUND((I20-I18)*I25,0)</f>
        <v>1066</v>
      </c>
      <c r="J19" s="13">
        <f t="shared" si="4"/>
        <v>1241</v>
      </c>
      <c r="K19" s="13">
        <f t="shared" si="4"/>
        <v>1441</v>
      </c>
      <c r="L19" s="13">
        <f t="shared" si="4"/>
        <v>1670</v>
      </c>
      <c r="M19" s="13">
        <f t="shared" si="4"/>
        <v>1931</v>
      </c>
      <c r="N19" s="13">
        <f t="shared" si="4"/>
        <v>2226</v>
      </c>
    </row>
    <row r="20" spans="2:14" ht="14.45" customHeight="1" x14ac:dyDescent="0.25">
      <c r="B20" s="10" t="s">
        <v>19</v>
      </c>
      <c r="C20" s="11">
        <v>12692</v>
      </c>
      <c r="D20" s="11">
        <v>13824</v>
      </c>
      <c r="E20" s="11">
        <v>14092</v>
      </c>
      <c r="F20" s="11">
        <v>14032</v>
      </c>
      <c r="G20" s="11">
        <v>14120</v>
      </c>
      <c r="H20" s="12">
        <f t="shared" si="0"/>
        <v>7.0870014399937453E-3</v>
      </c>
      <c r="I20" s="13">
        <f t="shared" si="2"/>
        <v>14220</v>
      </c>
      <c r="J20" s="13">
        <f t="shared" si="3"/>
        <v>14321</v>
      </c>
      <c r="K20" s="13">
        <f>ROUND(J20*(1+$H20),0)</f>
        <v>14422</v>
      </c>
      <c r="L20" s="13">
        <f>ROUND(K20*(1+$H20),0)</f>
        <v>14524</v>
      </c>
      <c r="M20" s="13">
        <f>ROUND(L20*(1+$H20),0)</f>
        <v>14627</v>
      </c>
      <c r="N20" s="13">
        <f>ROUND(M20*(1+$H20),0)</f>
        <v>14731</v>
      </c>
    </row>
    <row r="21" spans="2:14" ht="14.45" customHeight="1" x14ac:dyDescent="0.25"/>
    <row r="22" spans="2:14" ht="24" customHeight="1" x14ac:dyDescent="0.25">
      <c r="B22" s="127" t="s">
        <v>20</v>
      </c>
      <c r="C22" s="129" t="s">
        <v>14</v>
      </c>
      <c r="D22" s="130"/>
      <c r="E22" s="130"/>
      <c r="F22" s="130"/>
      <c r="G22" s="131"/>
      <c r="H22" s="125" t="s">
        <v>193</v>
      </c>
      <c r="I22" s="129" t="s">
        <v>21</v>
      </c>
      <c r="J22" s="130"/>
      <c r="K22" s="130"/>
      <c r="L22" s="130"/>
      <c r="M22" s="130"/>
      <c r="N22" s="131"/>
    </row>
    <row r="23" spans="2:14" ht="24" customHeight="1" x14ac:dyDescent="0.25">
      <c r="B23" s="128"/>
      <c r="C23" s="96">
        <v>2015</v>
      </c>
      <c r="D23" s="96">
        <v>2016</v>
      </c>
      <c r="E23" s="96">
        <v>2017</v>
      </c>
      <c r="F23" s="96">
        <v>2018</v>
      </c>
      <c r="G23" s="96">
        <v>2019</v>
      </c>
      <c r="H23" s="126"/>
      <c r="I23" s="96">
        <v>2020</v>
      </c>
      <c r="J23" s="96">
        <v>2021</v>
      </c>
      <c r="K23" s="96">
        <v>2022</v>
      </c>
      <c r="L23" s="96">
        <v>2023</v>
      </c>
      <c r="M23" s="96">
        <v>2024</v>
      </c>
      <c r="N23" s="96">
        <v>2025</v>
      </c>
    </row>
    <row r="24" spans="2:14" ht="14.45" customHeight="1" x14ac:dyDescent="0.25">
      <c r="B24" s="10" t="s">
        <v>22</v>
      </c>
      <c r="C24" s="14">
        <f>C18/C20</f>
        <v>0.2044595020485345</v>
      </c>
      <c r="D24" s="14">
        <f>D18/D20</f>
        <v>0.22323495370370369</v>
      </c>
      <c r="E24" s="14">
        <f>E18/E20</f>
        <v>0.25191598069826854</v>
      </c>
      <c r="F24" s="14">
        <f>F18/F20</f>
        <v>0.25285062713797035</v>
      </c>
      <c r="G24" s="14">
        <f>G18/G20</f>
        <v>0.26565155807365437</v>
      </c>
      <c r="H24" s="12">
        <f t="shared" si="0"/>
        <v>5.9701112529958245E-2</v>
      </c>
      <c r="I24" s="15">
        <f t="shared" ref="I24:N24" si="5">I18/I20</f>
        <v>0.28150492264416316</v>
      </c>
      <c r="J24" s="15">
        <f t="shared" si="5"/>
        <v>0.29830319111793868</v>
      </c>
      <c r="K24" s="15">
        <f t="shared" si="5"/>
        <v>0.3161142698654833</v>
      </c>
      <c r="L24" s="15">
        <f t="shared" si="5"/>
        <v>0.33496282015973561</v>
      </c>
      <c r="M24" s="15">
        <f t="shared" si="5"/>
        <v>0.35496000546933754</v>
      </c>
      <c r="N24" s="15">
        <f t="shared" si="5"/>
        <v>0.37614554341185258</v>
      </c>
    </row>
    <row r="25" spans="2:14" ht="14.45" customHeight="1" x14ac:dyDescent="0.25">
      <c r="B25" s="10" t="s">
        <v>23</v>
      </c>
      <c r="C25" s="14">
        <f>C19/(C20-C18)</f>
        <v>4.9519659304743981E-2</v>
      </c>
      <c r="D25" s="14">
        <f>D19/(D20-D18)</f>
        <v>5.3175637921400634E-2</v>
      </c>
      <c r="E25" s="14">
        <f>E19/(E20-E18)</f>
        <v>5.8148358945171695E-2</v>
      </c>
      <c r="F25" s="14">
        <f>F19/(F20-F18)</f>
        <v>6.8199160625715377E-2</v>
      </c>
      <c r="G25" s="14">
        <f>G19/(G20-G18)</f>
        <v>8.8147362330022183E-2</v>
      </c>
      <c r="H25" s="12">
        <f t="shared" si="0"/>
        <v>0.18349257486527426</v>
      </c>
      <c r="I25" s="15">
        <f>MIN(G25*(1+$H$25),1)</f>
        <v>0.10432174881154023</v>
      </c>
      <c r="J25" s="15">
        <f>MIN(I25*(1+$H$25),1)</f>
        <v>0.12346401511541812</v>
      </c>
      <c r="K25" s="15">
        <f>MIN(J25*(1+$H$25),1)</f>
        <v>0.14611874515215131</v>
      </c>
      <c r="L25" s="15">
        <f>MIN(K25*(1+$H$25),1)</f>
        <v>0.17293044993620238</v>
      </c>
      <c r="M25" s="15">
        <f>MIN(L25*(1+$H$25),1)</f>
        <v>0.20466190346760657</v>
      </c>
      <c r="N25" s="15">
        <f>MIN(M25*(1+$H$25),1)</f>
        <v>0.24221584311170591</v>
      </c>
    </row>
    <row r="26" spans="2:14" ht="14.45" customHeight="1" x14ac:dyDescent="0.25"/>
    <row r="27" spans="2:14" ht="20.45" customHeight="1" x14ac:dyDescent="0.25">
      <c r="B27" s="123" t="s">
        <v>24</v>
      </c>
      <c r="C27" s="123"/>
      <c r="D27" s="123"/>
      <c r="E27" s="123"/>
      <c r="F27" s="123"/>
      <c r="G27" s="123"/>
      <c r="H27" s="123"/>
      <c r="I27" s="123"/>
      <c r="J27" s="123"/>
      <c r="K27" s="123"/>
      <c r="L27" s="123"/>
      <c r="M27" s="123"/>
      <c r="N27" s="123"/>
    </row>
    <row r="28" spans="2:14" ht="60" customHeight="1" x14ac:dyDescent="0.25">
      <c r="B28" s="118" t="s">
        <v>225</v>
      </c>
      <c r="C28" s="119"/>
      <c r="D28" s="119"/>
      <c r="E28" s="119"/>
      <c r="F28" s="119"/>
      <c r="G28" s="119"/>
      <c r="H28" s="119"/>
      <c r="I28" s="119"/>
      <c r="J28" s="119"/>
      <c r="K28" s="119"/>
      <c r="L28" s="119"/>
      <c r="M28" s="119"/>
      <c r="N28" s="119"/>
    </row>
    <row r="29" spans="2:14" ht="42" customHeight="1" x14ac:dyDescent="0.25">
      <c r="B29" s="118" t="s">
        <v>226</v>
      </c>
      <c r="C29" s="118"/>
      <c r="D29" s="118"/>
      <c r="E29" s="118"/>
      <c r="F29" s="118"/>
      <c r="G29" s="118"/>
      <c r="H29" s="118"/>
      <c r="I29" s="118"/>
      <c r="J29" s="118"/>
      <c r="K29" s="118"/>
      <c r="L29" s="118"/>
      <c r="M29" s="118"/>
      <c r="N29" s="118"/>
    </row>
    <row r="30" spans="2:14" ht="42" customHeight="1" x14ac:dyDescent="0.25">
      <c r="B30" s="118" t="s">
        <v>194</v>
      </c>
      <c r="C30" s="118"/>
      <c r="D30" s="118"/>
      <c r="E30" s="118"/>
      <c r="F30" s="118"/>
      <c r="G30" s="118"/>
      <c r="H30" s="118"/>
      <c r="I30" s="118"/>
      <c r="J30" s="118"/>
      <c r="K30" s="118"/>
      <c r="L30" s="118"/>
      <c r="M30" s="118"/>
      <c r="N30" s="118"/>
    </row>
    <row r="31" spans="2:14" ht="15" customHeight="1" x14ac:dyDescent="0.25">
      <c r="B31" s="97"/>
      <c r="C31" s="97"/>
      <c r="D31" s="97"/>
      <c r="E31" s="97"/>
      <c r="F31" s="97"/>
      <c r="G31" s="97"/>
      <c r="H31" s="97"/>
      <c r="I31" s="97"/>
      <c r="J31" s="97"/>
      <c r="K31" s="97"/>
      <c r="L31" s="97"/>
      <c r="M31" s="97"/>
      <c r="N31" s="97"/>
    </row>
    <row r="32" spans="2:14" ht="60.6" customHeight="1" x14ac:dyDescent="0.25">
      <c r="B32" s="118" t="s">
        <v>195</v>
      </c>
      <c r="C32" s="119"/>
      <c r="D32" s="119"/>
      <c r="E32" s="119"/>
      <c r="F32" s="119"/>
      <c r="G32" s="119"/>
      <c r="H32" s="119"/>
      <c r="I32" s="119"/>
      <c r="J32" s="119"/>
      <c r="K32" s="119"/>
      <c r="L32" s="119"/>
      <c r="M32" s="119"/>
      <c r="N32" s="119"/>
    </row>
    <row r="33" spans="2:14" ht="42" customHeight="1" x14ac:dyDescent="0.25">
      <c r="B33" s="118" t="s">
        <v>196</v>
      </c>
      <c r="C33" s="119"/>
      <c r="D33" s="119"/>
      <c r="E33" s="119"/>
      <c r="F33" s="119"/>
      <c r="G33" s="119"/>
      <c r="H33" s="119"/>
      <c r="I33" s="119"/>
      <c r="J33" s="119"/>
      <c r="K33" s="119"/>
      <c r="L33" s="119"/>
      <c r="M33" s="119"/>
      <c r="N33" s="119"/>
    </row>
    <row r="34" spans="2:14" ht="13.9" customHeight="1" x14ac:dyDescent="0.25">
      <c r="B34" s="97"/>
      <c r="C34" s="97"/>
      <c r="D34" s="97"/>
      <c r="E34" s="97"/>
      <c r="F34" s="97"/>
      <c r="G34" s="97"/>
      <c r="H34" s="97"/>
      <c r="I34" s="97"/>
      <c r="J34" s="105"/>
      <c r="K34" s="97"/>
      <c r="L34" s="97"/>
      <c r="M34" s="97"/>
      <c r="N34" s="97"/>
    </row>
    <row r="35" spans="2:14" ht="25.15" customHeight="1" x14ac:dyDescent="0.25">
      <c r="B35" s="124" t="s">
        <v>25</v>
      </c>
      <c r="C35" s="124" t="s">
        <v>14</v>
      </c>
      <c r="D35" s="124"/>
      <c r="E35" s="124"/>
      <c r="F35" s="124"/>
      <c r="G35" s="124"/>
      <c r="H35" s="125" t="s">
        <v>193</v>
      </c>
      <c r="I35" s="124" t="s">
        <v>26</v>
      </c>
      <c r="J35" s="124"/>
      <c r="K35" s="124"/>
      <c r="L35" s="124"/>
      <c r="M35" s="124"/>
      <c r="N35" s="124"/>
    </row>
    <row r="36" spans="2:14" ht="25.15" customHeight="1" x14ac:dyDescent="0.25">
      <c r="B36" s="124"/>
      <c r="C36" s="96">
        <v>2015</v>
      </c>
      <c r="D36" s="96">
        <v>2016</v>
      </c>
      <c r="E36" s="96">
        <v>2017</v>
      </c>
      <c r="F36" s="96">
        <v>2018</v>
      </c>
      <c r="G36" s="96">
        <v>2019</v>
      </c>
      <c r="H36" s="126"/>
      <c r="I36" s="96">
        <v>2020</v>
      </c>
      <c r="J36" s="96">
        <v>2021</v>
      </c>
      <c r="K36" s="96">
        <v>2022</v>
      </c>
      <c r="L36" s="96">
        <v>2023</v>
      </c>
      <c r="M36" s="96">
        <v>2024</v>
      </c>
      <c r="N36" s="96">
        <v>2025</v>
      </c>
    </row>
    <row r="37" spans="2:14" ht="13.9" customHeight="1" x14ac:dyDescent="0.25">
      <c r="B37" s="10" t="s">
        <v>17</v>
      </c>
      <c r="C37" s="16">
        <v>1883.6157996146435</v>
      </c>
      <c r="D37" s="16">
        <v>1837.7608554763449</v>
      </c>
      <c r="E37" s="16">
        <v>1821.6481690140845</v>
      </c>
      <c r="F37" s="16">
        <v>1960.7266065388951</v>
      </c>
      <c r="G37" s="16">
        <v>1994.3940282591309</v>
      </c>
      <c r="H37" s="12">
        <f t="shared" si="0"/>
        <v>2.7639185195242888E-2</v>
      </c>
      <c r="I37" s="16">
        <f t="shared" ref="I37:I38" si="6">G37*(1+$H37)</f>
        <v>2049.5174541584715</v>
      </c>
      <c r="J37" s="16">
        <f t="shared" ref="J37:J38" si="7">I37*(1+$H37)</f>
        <v>2106.1644466348403</v>
      </c>
      <c r="K37" s="16">
        <f t="shared" ref="K37:N38" si="8">J37*(1+$H37)</f>
        <v>2164.377115827017</v>
      </c>
      <c r="L37" s="16">
        <f t="shared" ref="L37:L38" si="9">K37*(1+$H37)</f>
        <v>2224.1987357637054</v>
      </c>
      <c r="M37" s="16">
        <f t="shared" si="8"/>
        <v>2285.6737765325033</v>
      </c>
      <c r="N37" s="16">
        <f t="shared" si="8"/>
        <v>2348.8479373379955</v>
      </c>
    </row>
    <row r="38" spans="2:14" ht="13.9" customHeight="1" x14ac:dyDescent="0.25">
      <c r="B38" s="10" t="s">
        <v>18</v>
      </c>
      <c r="C38" s="16">
        <v>2385.5239999999999</v>
      </c>
      <c r="D38" s="16">
        <v>2298.549912434326</v>
      </c>
      <c r="E38" s="16">
        <v>2409.8205546492659</v>
      </c>
      <c r="F38" s="16">
        <v>2419.4797202797204</v>
      </c>
      <c r="G38" s="16">
        <v>2578.5919037199124</v>
      </c>
      <c r="H38" s="12">
        <f t="shared" si="0"/>
        <v>3.9065420475447254E-2</v>
      </c>
      <c r="I38" s="16">
        <f t="shared" si="6"/>
        <v>2679.3256806733148</v>
      </c>
      <c r="J38" s="16">
        <f t="shared" si="7"/>
        <v>2783.9946649794815</v>
      </c>
      <c r="K38" s="16">
        <f t="shared" si="8"/>
        <v>2892.7525871683069</v>
      </c>
      <c r="L38" s="16">
        <f t="shared" si="9"/>
        <v>3005.7591833174747</v>
      </c>
      <c r="M38" s="16">
        <f t="shared" si="8"/>
        <v>3123.1804296617088</v>
      </c>
      <c r="N38" s="16">
        <f t="shared" si="8"/>
        <v>3245.1887863671313</v>
      </c>
    </row>
    <row r="39" spans="2:14" ht="13.9" customHeight="1" x14ac:dyDescent="0.25">
      <c r="B39" s="97"/>
      <c r="C39" s="97"/>
      <c r="D39" s="97"/>
      <c r="E39" s="97"/>
      <c r="F39" s="97"/>
      <c r="G39" s="97"/>
      <c r="H39" s="97"/>
      <c r="I39" s="97"/>
      <c r="J39" s="97"/>
      <c r="K39" s="97"/>
      <c r="L39" s="97"/>
      <c r="M39" s="97"/>
      <c r="N39" s="97"/>
    </row>
    <row r="40" spans="2:14" ht="24" customHeight="1" x14ac:dyDescent="0.25">
      <c r="B40" s="124" t="s">
        <v>27</v>
      </c>
      <c r="C40" s="124" t="s">
        <v>14</v>
      </c>
      <c r="D40" s="124"/>
      <c r="E40" s="124"/>
      <c r="F40" s="124"/>
      <c r="G40" s="124"/>
      <c r="H40" s="125" t="s">
        <v>193</v>
      </c>
      <c r="I40" s="124" t="s">
        <v>28</v>
      </c>
      <c r="J40" s="124"/>
      <c r="K40" s="124"/>
      <c r="L40" s="124"/>
      <c r="M40" s="124"/>
      <c r="N40" s="124"/>
    </row>
    <row r="41" spans="2:14" ht="24" customHeight="1" x14ac:dyDescent="0.25">
      <c r="B41" s="124"/>
      <c r="C41" s="96">
        <v>2015</v>
      </c>
      <c r="D41" s="96">
        <v>2016</v>
      </c>
      <c r="E41" s="96">
        <v>2017</v>
      </c>
      <c r="F41" s="96">
        <v>2018</v>
      </c>
      <c r="G41" s="96">
        <v>2019</v>
      </c>
      <c r="H41" s="126"/>
      <c r="I41" s="96">
        <v>2020</v>
      </c>
      <c r="J41" s="96">
        <v>2021</v>
      </c>
      <c r="K41" s="96">
        <v>2022</v>
      </c>
      <c r="L41" s="96">
        <v>2023</v>
      </c>
      <c r="M41" s="96">
        <v>2024</v>
      </c>
      <c r="N41" s="96">
        <v>2025</v>
      </c>
    </row>
    <row r="42" spans="2:14" ht="13.9" customHeight="1" x14ac:dyDescent="0.25">
      <c r="B42" s="10" t="s">
        <v>17</v>
      </c>
      <c r="C42" s="16">
        <f t="shared" ref="C42:G43" si="10">C37*C18</f>
        <v>4887983</v>
      </c>
      <c r="D42" s="16">
        <f t="shared" si="10"/>
        <v>5671330</v>
      </c>
      <c r="E42" s="16">
        <f t="shared" si="10"/>
        <v>6466851</v>
      </c>
      <c r="F42" s="16">
        <f t="shared" si="10"/>
        <v>6956658</v>
      </c>
      <c r="G42" s="16">
        <f t="shared" si="10"/>
        <v>7480972</v>
      </c>
      <c r="H42" s="12">
        <f t="shared" si="0"/>
        <v>9.6708064277474914E-2</v>
      </c>
      <c r="I42" s="16">
        <f t="shared" ref="I42:N42" si="11">I37*I18</f>
        <v>8204218.3689963613</v>
      </c>
      <c r="J42" s="16">
        <f t="shared" si="11"/>
        <v>8997534.5160240382</v>
      </c>
      <c r="K42" s="16">
        <f t="shared" si="11"/>
        <v>9867395.2710553706</v>
      </c>
      <c r="L42" s="16">
        <f t="shared" si="11"/>
        <v>10820726.849490426</v>
      </c>
      <c r="M42" s="16">
        <f t="shared" si="11"/>
        <v>11867218.247756757</v>
      </c>
      <c r="N42" s="16">
        <f t="shared" si="11"/>
        <v>13014966.420789832</v>
      </c>
    </row>
    <row r="43" spans="2:14" ht="13.9" customHeight="1" x14ac:dyDescent="0.25">
      <c r="B43" s="10" t="s">
        <v>18</v>
      </c>
      <c r="C43" s="16">
        <f t="shared" si="10"/>
        <v>1192762</v>
      </c>
      <c r="D43" s="16">
        <f t="shared" si="10"/>
        <v>1312472.0000000002</v>
      </c>
      <c r="E43" s="16">
        <f t="shared" si="10"/>
        <v>1477220</v>
      </c>
      <c r="F43" s="16">
        <f t="shared" si="10"/>
        <v>1729928</v>
      </c>
      <c r="G43" s="16">
        <f t="shared" si="10"/>
        <v>2356833</v>
      </c>
      <c r="H43" s="12">
        <f t="shared" si="0"/>
        <v>0.21547562639820894</v>
      </c>
      <c r="I43" s="16">
        <f t="shared" ref="I43:N43" si="12">I19*I38</f>
        <v>2856161.1755977534</v>
      </c>
      <c r="J43" s="16">
        <f t="shared" si="12"/>
        <v>3454937.3792395364</v>
      </c>
      <c r="K43" s="16">
        <f t="shared" si="12"/>
        <v>4168456.4781095302</v>
      </c>
      <c r="L43" s="16">
        <f t="shared" si="12"/>
        <v>5019617.8361401828</v>
      </c>
      <c r="M43" s="16">
        <f t="shared" si="12"/>
        <v>6030861.4096767595</v>
      </c>
      <c r="N43" s="16">
        <f t="shared" si="12"/>
        <v>7223790.2384532345</v>
      </c>
    </row>
    <row r="44" spans="2:14" ht="13.9" customHeight="1" x14ac:dyDescent="0.25"/>
    <row r="45" spans="2:14" ht="21" customHeight="1" x14ac:dyDescent="0.25">
      <c r="B45" s="123" t="s">
        <v>197</v>
      </c>
      <c r="C45" s="123"/>
      <c r="D45" s="123"/>
      <c r="E45" s="123"/>
      <c r="F45" s="123"/>
      <c r="G45" s="123"/>
      <c r="H45" s="123"/>
      <c r="I45" s="123"/>
      <c r="J45" s="123"/>
      <c r="K45" s="123"/>
      <c r="L45" s="123"/>
      <c r="M45" s="123"/>
      <c r="N45" s="123"/>
    </row>
    <row r="46" spans="2:14" ht="24" customHeight="1" x14ac:dyDescent="0.25">
      <c r="B46" s="118" t="s">
        <v>198</v>
      </c>
      <c r="C46" s="119"/>
      <c r="D46" s="119"/>
      <c r="E46" s="119"/>
      <c r="F46" s="119"/>
      <c r="G46" s="119"/>
      <c r="H46" s="119"/>
      <c r="I46" s="119"/>
      <c r="J46" s="119"/>
      <c r="K46" s="119"/>
      <c r="L46" s="119"/>
      <c r="M46" s="119"/>
      <c r="N46" s="119"/>
    </row>
    <row r="47" spans="2:14" ht="59.45" customHeight="1" x14ac:dyDescent="0.25">
      <c r="B47" s="118" t="s">
        <v>199</v>
      </c>
      <c r="C47" s="119"/>
      <c r="D47" s="119"/>
      <c r="E47" s="119"/>
      <c r="F47" s="119"/>
      <c r="G47" s="119"/>
      <c r="H47" s="119"/>
      <c r="I47" s="119"/>
      <c r="J47" s="119"/>
      <c r="K47" s="119"/>
      <c r="L47" s="119"/>
      <c r="M47" s="119"/>
      <c r="N47" s="119"/>
    </row>
    <row r="48" spans="2:14" ht="13.9" customHeight="1" x14ac:dyDescent="0.25">
      <c r="B48" s="97"/>
      <c r="C48" s="97"/>
      <c r="D48" s="97"/>
      <c r="E48" s="97"/>
      <c r="F48" s="97"/>
      <c r="G48" s="97"/>
      <c r="H48" s="97"/>
      <c r="I48" s="97"/>
      <c r="J48" s="97"/>
      <c r="K48" s="97"/>
      <c r="L48" s="97"/>
      <c r="M48" s="97"/>
      <c r="N48" s="97"/>
    </row>
    <row r="49" spans="2:14" ht="24" customHeight="1" x14ac:dyDescent="0.25">
      <c r="B49" s="124" t="s">
        <v>29</v>
      </c>
      <c r="C49" s="124" t="s">
        <v>14</v>
      </c>
      <c r="D49" s="124"/>
      <c r="E49" s="124"/>
      <c r="F49" s="124"/>
      <c r="G49" s="124"/>
      <c r="H49" s="125" t="s">
        <v>200</v>
      </c>
      <c r="I49" s="124" t="s">
        <v>26</v>
      </c>
      <c r="J49" s="124"/>
      <c r="K49" s="124"/>
      <c r="L49" s="124"/>
      <c r="M49" s="124"/>
      <c r="N49" s="124"/>
    </row>
    <row r="50" spans="2:14" ht="24" customHeight="1" x14ac:dyDescent="0.25">
      <c r="B50" s="124"/>
      <c r="C50" s="96">
        <v>2015</v>
      </c>
      <c r="D50" s="96">
        <v>2016</v>
      </c>
      <c r="E50" s="96">
        <v>2017</v>
      </c>
      <c r="F50" s="96">
        <v>2018</v>
      </c>
      <c r="G50" s="96">
        <v>2019</v>
      </c>
      <c r="H50" s="126"/>
      <c r="I50" s="96">
        <v>2020</v>
      </c>
      <c r="J50" s="96">
        <v>2021</v>
      </c>
      <c r="K50" s="96">
        <v>2022</v>
      </c>
      <c r="L50" s="96">
        <v>2023</v>
      </c>
      <c r="M50" s="96">
        <v>2024</v>
      </c>
      <c r="N50" s="96">
        <v>2025</v>
      </c>
    </row>
    <row r="51" spans="2:14" ht="13.9" customHeight="1" x14ac:dyDescent="0.25">
      <c r="B51" s="10" t="s">
        <v>30</v>
      </c>
      <c r="C51" s="16">
        <f>D51/(1+$H$51)</f>
        <v>24262671.439343967</v>
      </c>
      <c r="D51" s="16">
        <f>E51/(1+$H$51)</f>
        <v>24990551.582524285</v>
      </c>
      <c r="E51" s="16">
        <v>25740268.130000014</v>
      </c>
      <c r="F51" s="16">
        <f>E51*(1+$H$51)</f>
        <v>26512476.173900016</v>
      </c>
      <c r="G51" s="16">
        <f>F51*(1+$H$51)</f>
        <v>27307850.459117018</v>
      </c>
      <c r="H51" s="12">
        <v>0.03</v>
      </c>
      <c r="I51" s="16">
        <f>G51*(1+$H$51)</f>
        <v>28127085.97289053</v>
      </c>
      <c r="J51" s="16">
        <f>I51*(1+$H$51)</f>
        <v>28970898.552077245</v>
      </c>
      <c r="K51" s="16">
        <f t="shared" ref="K51:N51" si="13">J51*(1+$H$51)</f>
        <v>29840025.508639563</v>
      </c>
      <c r="L51" s="16">
        <f t="shared" si="13"/>
        <v>30735226.273898751</v>
      </c>
      <c r="M51" s="16">
        <f t="shared" si="13"/>
        <v>31657283.062115714</v>
      </c>
      <c r="N51" s="16">
        <f t="shared" si="13"/>
        <v>32607001.553979184</v>
      </c>
    </row>
    <row r="52" spans="2:14" ht="13.9" customHeight="1" x14ac:dyDescent="0.25"/>
    <row r="53" spans="2:14" ht="21" customHeight="1" x14ac:dyDescent="0.25">
      <c r="B53" s="123" t="s">
        <v>201</v>
      </c>
      <c r="C53" s="123"/>
      <c r="D53" s="123"/>
      <c r="E53" s="123"/>
      <c r="F53" s="123"/>
      <c r="G53" s="123"/>
      <c r="H53" s="123"/>
      <c r="I53" s="123"/>
      <c r="J53" s="123"/>
      <c r="K53" s="123"/>
      <c r="L53" s="123"/>
      <c r="M53" s="123"/>
      <c r="N53" s="123"/>
    </row>
    <row r="54" spans="2:14" ht="90" customHeight="1" x14ac:dyDescent="0.25">
      <c r="B54" s="118" t="s">
        <v>227</v>
      </c>
      <c r="C54" s="119"/>
      <c r="D54" s="119"/>
      <c r="E54" s="119"/>
      <c r="F54" s="119"/>
      <c r="G54" s="119"/>
      <c r="H54" s="119"/>
      <c r="I54" s="119"/>
      <c r="J54" s="119"/>
      <c r="K54" s="119"/>
      <c r="L54" s="119"/>
      <c r="M54" s="119"/>
      <c r="N54" s="119"/>
    </row>
    <row r="55" spans="2:14" ht="13.9" customHeight="1" x14ac:dyDescent="0.25"/>
    <row r="56" spans="2:14" ht="20.45" customHeight="1" x14ac:dyDescent="0.25">
      <c r="B56" s="132" t="s">
        <v>31</v>
      </c>
      <c r="C56" s="133"/>
      <c r="D56" s="133"/>
      <c r="E56" s="133"/>
      <c r="F56" s="133"/>
      <c r="G56" s="133"/>
      <c r="H56" s="133"/>
      <c r="I56" s="133"/>
      <c r="J56" s="133"/>
      <c r="K56" s="133"/>
      <c r="L56" s="133"/>
      <c r="M56" s="133"/>
      <c r="N56" s="133"/>
    </row>
    <row r="57" spans="2:14" ht="30" customHeight="1" x14ac:dyDescent="0.25">
      <c r="B57" s="118" t="s">
        <v>32</v>
      </c>
      <c r="C57" s="119"/>
      <c r="D57" s="119"/>
      <c r="E57" s="119"/>
      <c r="F57" s="119"/>
      <c r="G57" s="119"/>
      <c r="H57" s="119"/>
      <c r="I57" s="119"/>
      <c r="J57" s="119"/>
      <c r="K57" s="119"/>
      <c r="L57" s="119"/>
      <c r="M57" s="119"/>
      <c r="N57" s="119"/>
    </row>
    <row r="58" spans="2:14" ht="13.15" customHeight="1" x14ac:dyDescent="0.25">
      <c r="B58" s="95"/>
      <c r="C58" s="94"/>
      <c r="D58" s="94"/>
      <c r="E58" s="94"/>
      <c r="F58" s="94"/>
      <c r="G58" s="94"/>
      <c r="H58" s="94"/>
      <c r="I58" s="94"/>
      <c r="J58" s="94"/>
      <c r="K58" s="94"/>
      <c r="L58" s="94"/>
      <c r="M58" s="94"/>
      <c r="N58" s="94"/>
    </row>
    <row r="59" spans="2:14" ht="25.15" customHeight="1" x14ac:dyDescent="0.25">
      <c r="B59" s="124" t="s">
        <v>33</v>
      </c>
      <c r="C59" s="124" t="s">
        <v>14</v>
      </c>
      <c r="D59" s="124"/>
      <c r="E59" s="124"/>
      <c r="F59" s="124"/>
      <c r="G59" s="124"/>
      <c r="H59" s="125" t="s">
        <v>193</v>
      </c>
      <c r="I59" s="124" t="s">
        <v>26</v>
      </c>
      <c r="J59" s="124"/>
      <c r="K59" s="124"/>
      <c r="L59" s="124"/>
      <c r="M59" s="124"/>
      <c r="N59" s="124"/>
    </row>
    <row r="60" spans="2:14" ht="25.15" customHeight="1" x14ac:dyDescent="0.25">
      <c r="B60" s="124"/>
      <c r="C60" s="96">
        <v>2015</v>
      </c>
      <c r="D60" s="96">
        <v>2016</v>
      </c>
      <c r="E60" s="96">
        <v>2017</v>
      </c>
      <c r="F60" s="96">
        <v>2018</v>
      </c>
      <c r="G60" s="96">
        <v>2019</v>
      </c>
      <c r="H60" s="126"/>
      <c r="I60" s="96">
        <v>2020</v>
      </c>
      <c r="J60" s="96">
        <v>2021</v>
      </c>
      <c r="K60" s="96">
        <v>2022</v>
      </c>
      <c r="L60" s="96">
        <v>2023</v>
      </c>
      <c r="M60" s="96">
        <v>2024</v>
      </c>
      <c r="N60" s="96">
        <v>2025</v>
      </c>
    </row>
    <row r="61" spans="2:14" ht="13.9" customHeight="1" x14ac:dyDescent="0.25">
      <c r="B61" s="10" t="s">
        <v>34</v>
      </c>
      <c r="C61" s="16">
        <f>SUM(C51,C42,C43)</f>
        <v>30343416.439343967</v>
      </c>
      <c r="D61" s="16">
        <f>SUM(D51,D42,D43)</f>
        <v>31974353.582524285</v>
      </c>
      <c r="E61" s="16">
        <f>SUM(E51,E42,E43)</f>
        <v>33684339.13000001</v>
      </c>
      <c r="F61" s="16">
        <f>SUM(F51,F42,F43)</f>
        <v>35199062.173900016</v>
      </c>
      <c r="G61" s="16">
        <f>SUM(G51,G42,G43)</f>
        <v>37145655.459117018</v>
      </c>
      <c r="H61" s="12">
        <f t="shared" si="0"/>
        <v>5.1240500447101933E-2</v>
      </c>
      <c r="I61" s="16">
        <f t="shared" ref="I61:N61" si="14">SUM(I51,I42,I43)</f>
        <v>39187465.51748465</v>
      </c>
      <c r="J61" s="16">
        <f t="shared" si="14"/>
        <v>41423370.447340824</v>
      </c>
      <c r="K61" s="16">
        <f t="shared" si="14"/>
        <v>43875877.257804461</v>
      </c>
      <c r="L61" s="16">
        <f t="shared" si="14"/>
        <v>46575570.959529363</v>
      </c>
      <c r="M61" s="16">
        <f t="shared" si="14"/>
        <v>49555362.719549231</v>
      </c>
      <c r="N61" s="16">
        <f t="shared" si="14"/>
        <v>52845758.21322225</v>
      </c>
    </row>
    <row r="62" spans="2:14" ht="15" customHeight="1" x14ac:dyDescent="0.25"/>
    <row r="63" spans="2:14" ht="21.6" customHeight="1" x14ac:dyDescent="0.25">
      <c r="B63" s="106" t="s">
        <v>35</v>
      </c>
    </row>
    <row r="64" spans="2:14" ht="42" customHeight="1" x14ac:dyDescent="0.25">
      <c r="B64" s="118" t="s">
        <v>202</v>
      </c>
      <c r="C64" s="119"/>
      <c r="D64" s="119"/>
      <c r="E64" s="119"/>
      <c r="F64" s="119"/>
      <c r="G64" s="119"/>
      <c r="H64" s="119"/>
      <c r="I64" s="119"/>
      <c r="J64" s="119"/>
      <c r="K64" s="119"/>
      <c r="L64" s="119"/>
      <c r="M64" s="119"/>
      <c r="N64" s="119"/>
    </row>
    <row r="65" spans="2:14" ht="15" customHeight="1" x14ac:dyDescent="0.25">
      <c r="B65" s="100"/>
    </row>
    <row r="66" spans="2:14" ht="15" customHeight="1" x14ac:dyDescent="0.25">
      <c r="B66" s="134" t="s">
        <v>36</v>
      </c>
      <c r="C66" s="98" t="s">
        <v>37</v>
      </c>
    </row>
    <row r="67" spans="2:14" ht="15" customHeight="1" x14ac:dyDescent="0.25">
      <c r="B67" s="135"/>
      <c r="C67" s="98">
        <v>2020</v>
      </c>
    </row>
    <row r="68" spans="2:14" ht="15" customHeight="1" x14ac:dyDescent="0.25">
      <c r="B68" s="17" t="s">
        <v>17</v>
      </c>
      <c r="C68" s="18">
        <v>4428</v>
      </c>
    </row>
    <row r="69" spans="2:14" ht="15" customHeight="1" x14ac:dyDescent="0.25">
      <c r="B69" s="17" t="s">
        <v>38</v>
      </c>
      <c r="C69" s="18">
        <v>9354</v>
      </c>
    </row>
    <row r="70" spans="2:14" ht="15" customHeight="1" x14ac:dyDescent="0.25">
      <c r="B70" s="17" t="s">
        <v>39</v>
      </c>
      <c r="C70" s="18">
        <v>882</v>
      </c>
    </row>
    <row r="71" spans="2:14" ht="15" customHeight="1" x14ac:dyDescent="0.25">
      <c r="B71" s="17" t="s">
        <v>19</v>
      </c>
      <c r="C71" s="18">
        <v>14664</v>
      </c>
    </row>
    <row r="72" spans="2:14" ht="15" customHeight="1" x14ac:dyDescent="0.25">
      <c r="B72" s="100"/>
    </row>
    <row r="73" spans="2:14" ht="42" customHeight="1" x14ac:dyDescent="0.25">
      <c r="B73" s="118" t="s">
        <v>203</v>
      </c>
      <c r="C73" s="119"/>
      <c r="D73" s="119"/>
      <c r="E73" s="119"/>
      <c r="F73" s="119"/>
      <c r="G73" s="119"/>
      <c r="H73" s="119"/>
      <c r="I73" s="119"/>
      <c r="J73" s="119"/>
      <c r="K73" s="119"/>
      <c r="L73" s="119"/>
      <c r="M73" s="119"/>
      <c r="N73" s="119"/>
    </row>
    <row r="74" spans="2:14" ht="24.6" customHeight="1" x14ac:dyDescent="0.25">
      <c r="B74" s="136" t="s">
        <v>204</v>
      </c>
      <c r="C74" s="137"/>
      <c r="D74" s="137"/>
      <c r="E74" s="137"/>
      <c r="F74" s="137"/>
      <c r="G74" s="137"/>
      <c r="H74" s="137"/>
      <c r="I74" s="137"/>
      <c r="J74" s="137"/>
      <c r="K74" s="137"/>
      <c r="L74" s="137"/>
      <c r="M74" s="137"/>
      <c r="N74" s="137"/>
    </row>
    <row r="75" spans="2:14" ht="36.6" customHeight="1" x14ac:dyDescent="0.25">
      <c r="B75" s="118" t="s">
        <v>40</v>
      </c>
      <c r="C75" s="119"/>
      <c r="D75" s="119"/>
      <c r="E75" s="119"/>
      <c r="F75" s="119"/>
      <c r="G75" s="119"/>
      <c r="H75" s="119"/>
      <c r="I75" s="119"/>
      <c r="J75" s="119"/>
      <c r="K75" s="119"/>
      <c r="L75" s="119"/>
      <c r="M75" s="119"/>
      <c r="N75" s="119"/>
    </row>
    <row r="76" spans="2:14" ht="15" customHeight="1" x14ac:dyDescent="0.25">
      <c r="B76" s="94"/>
      <c r="C76" s="94"/>
      <c r="D76" s="94"/>
      <c r="E76" s="94"/>
      <c r="F76" s="94"/>
      <c r="G76" s="94"/>
      <c r="H76" s="94"/>
      <c r="I76" s="94"/>
      <c r="J76" s="94"/>
      <c r="K76" s="94"/>
      <c r="L76" s="94"/>
      <c r="M76" s="94"/>
      <c r="N76" s="94"/>
    </row>
    <row r="77" spans="2:14" ht="24" customHeight="1" x14ac:dyDescent="0.25">
      <c r="B77" s="136" t="s">
        <v>205</v>
      </c>
      <c r="C77" s="137"/>
      <c r="D77" s="137"/>
      <c r="E77" s="137"/>
      <c r="F77" s="137"/>
      <c r="G77" s="137"/>
      <c r="H77" s="137"/>
      <c r="I77" s="137"/>
      <c r="J77" s="137"/>
      <c r="K77" s="137"/>
      <c r="L77" s="137"/>
      <c r="M77" s="137"/>
      <c r="N77" s="137"/>
    </row>
    <row r="78" spans="2:14" ht="24" customHeight="1" x14ac:dyDescent="0.25">
      <c r="B78" s="136" t="s">
        <v>41</v>
      </c>
      <c r="C78" s="137"/>
      <c r="D78" s="137"/>
      <c r="E78" s="137"/>
      <c r="F78" s="137"/>
      <c r="G78" s="137"/>
      <c r="H78" s="137"/>
      <c r="I78" s="137"/>
      <c r="J78" s="137"/>
      <c r="K78" s="137"/>
      <c r="L78" s="137"/>
      <c r="M78" s="137"/>
      <c r="N78" s="137"/>
    </row>
    <row r="79" spans="2:14" ht="24" customHeight="1" x14ac:dyDescent="0.25">
      <c r="B79" s="138" t="s">
        <v>253</v>
      </c>
      <c r="C79" s="137"/>
      <c r="D79" s="137"/>
      <c r="E79" s="137"/>
      <c r="F79" s="137"/>
      <c r="G79" s="137"/>
      <c r="H79" s="137"/>
      <c r="I79" s="137"/>
      <c r="J79" s="137"/>
      <c r="K79" s="137"/>
      <c r="L79" s="137"/>
      <c r="M79" s="137"/>
      <c r="N79" s="137"/>
    </row>
    <row r="80" spans="2:14" ht="24" customHeight="1" x14ac:dyDescent="0.25">
      <c r="B80" s="138" t="s">
        <v>254</v>
      </c>
      <c r="C80" s="137"/>
      <c r="D80" s="137"/>
      <c r="E80" s="137"/>
      <c r="F80" s="137"/>
      <c r="G80" s="137"/>
      <c r="H80" s="137"/>
      <c r="I80" s="137"/>
      <c r="J80" s="137"/>
      <c r="K80" s="137"/>
      <c r="L80" s="137"/>
      <c r="M80" s="137"/>
      <c r="N80" s="137"/>
    </row>
    <row r="81" spans="2:14" ht="24" customHeight="1" x14ac:dyDescent="0.25">
      <c r="B81" s="136" t="s">
        <v>42</v>
      </c>
      <c r="C81" s="137"/>
      <c r="D81" s="137"/>
      <c r="E81" s="137"/>
      <c r="F81" s="137"/>
      <c r="G81" s="137"/>
      <c r="H81" s="137"/>
      <c r="I81" s="137"/>
      <c r="J81" s="137"/>
      <c r="K81" s="137"/>
      <c r="L81" s="137"/>
      <c r="M81" s="137"/>
      <c r="N81" s="137"/>
    </row>
    <row r="82" spans="2:14" ht="15" customHeight="1" x14ac:dyDescent="0.25"/>
    <row r="83" spans="2:14" ht="15" customHeight="1" x14ac:dyDescent="0.25">
      <c r="B83" s="134" t="s">
        <v>43</v>
      </c>
      <c r="C83" s="98" t="s">
        <v>37</v>
      </c>
    </row>
    <row r="84" spans="2:14" ht="15" customHeight="1" x14ac:dyDescent="0.25">
      <c r="B84" s="135"/>
      <c r="C84" s="98">
        <v>2020</v>
      </c>
    </row>
    <row r="85" spans="2:14" ht="15" customHeight="1" x14ac:dyDescent="0.25">
      <c r="B85" s="17" t="s">
        <v>44</v>
      </c>
      <c r="C85" s="19">
        <f>C68*I37*0.8</f>
        <v>7260210.6296109697</v>
      </c>
    </row>
    <row r="86" spans="2:14" ht="15" customHeight="1" x14ac:dyDescent="0.25">
      <c r="B86" s="17" t="s">
        <v>45</v>
      </c>
      <c r="C86" s="19">
        <f>C69*2750</f>
        <v>25723500</v>
      </c>
    </row>
    <row r="87" spans="2:14" ht="15" customHeight="1" x14ac:dyDescent="0.25">
      <c r="B87" s="17" t="s">
        <v>46</v>
      </c>
      <c r="C87" s="19">
        <f>C70*917</f>
        <v>808794</v>
      </c>
    </row>
    <row r="88" spans="2:14" ht="15" customHeight="1" x14ac:dyDescent="0.25">
      <c r="B88" s="20" t="s">
        <v>47</v>
      </c>
      <c r="C88" s="19">
        <f>C69*150</f>
        <v>1403100</v>
      </c>
    </row>
    <row r="89" spans="2:14" ht="15" customHeight="1" x14ac:dyDescent="0.25">
      <c r="B89" s="17" t="s">
        <v>19</v>
      </c>
      <c r="C89" s="21">
        <f>SUM(C85:C88)</f>
        <v>35195604.629610971</v>
      </c>
    </row>
    <row r="90" spans="2:14" ht="15" customHeight="1" x14ac:dyDescent="0.25">
      <c r="B90" s="100"/>
    </row>
    <row r="91" spans="2:14" ht="21" customHeight="1" x14ac:dyDescent="0.25">
      <c r="B91" s="133" t="s">
        <v>48</v>
      </c>
      <c r="C91" s="133"/>
      <c r="D91" s="133"/>
      <c r="E91" s="133"/>
      <c r="F91" s="133"/>
      <c r="G91" s="133"/>
      <c r="H91" s="133"/>
      <c r="I91" s="133"/>
      <c r="J91" s="133"/>
      <c r="K91" s="133"/>
      <c r="L91" s="133"/>
      <c r="M91" s="133"/>
      <c r="N91" s="133"/>
    </row>
    <row r="92" spans="2:14" ht="45" customHeight="1" x14ac:dyDescent="0.25">
      <c r="B92" s="118" t="s">
        <v>206</v>
      </c>
      <c r="C92" s="119"/>
      <c r="D92" s="119"/>
      <c r="E92" s="119"/>
      <c r="F92" s="119"/>
      <c r="G92" s="119"/>
      <c r="H92" s="119"/>
      <c r="I92" s="119"/>
      <c r="J92" s="119"/>
      <c r="K92" s="119"/>
      <c r="L92" s="119"/>
      <c r="M92" s="119"/>
      <c r="N92" s="119"/>
    </row>
    <row r="93" spans="2:14" ht="45" customHeight="1" x14ac:dyDescent="0.25">
      <c r="B93" s="118" t="s">
        <v>220</v>
      </c>
      <c r="C93" s="119"/>
      <c r="D93" s="119"/>
      <c r="E93" s="119"/>
      <c r="F93" s="119"/>
      <c r="G93" s="119"/>
      <c r="H93" s="119"/>
      <c r="I93" s="119"/>
      <c r="J93" s="119"/>
      <c r="K93" s="119"/>
      <c r="L93" s="119"/>
      <c r="M93" s="119"/>
      <c r="N93" s="119"/>
    </row>
    <row r="94" spans="2:14" ht="75" customHeight="1" x14ac:dyDescent="0.25">
      <c r="B94" s="118" t="s">
        <v>221</v>
      </c>
      <c r="C94" s="119"/>
      <c r="D94" s="119"/>
      <c r="E94" s="119"/>
      <c r="F94" s="119"/>
      <c r="G94" s="119"/>
      <c r="H94" s="119"/>
      <c r="I94" s="119"/>
      <c r="J94" s="119"/>
      <c r="K94" s="119"/>
      <c r="L94" s="119"/>
      <c r="M94" s="119"/>
      <c r="N94" s="119"/>
    </row>
    <row r="95" spans="2:14" ht="42.6" customHeight="1" x14ac:dyDescent="0.25">
      <c r="B95" s="118" t="s">
        <v>207</v>
      </c>
      <c r="C95" s="119"/>
      <c r="D95" s="119"/>
      <c r="E95" s="119"/>
      <c r="F95" s="119"/>
      <c r="G95" s="119"/>
      <c r="H95" s="119"/>
      <c r="I95" s="119"/>
      <c r="J95" s="119"/>
      <c r="K95" s="119"/>
      <c r="L95" s="119"/>
      <c r="M95" s="119"/>
      <c r="N95" s="119"/>
    </row>
    <row r="96" spans="2:14" ht="13.9" customHeight="1" x14ac:dyDescent="0.25"/>
    <row r="97" spans="2:14" ht="25.15" customHeight="1" x14ac:dyDescent="0.25">
      <c r="B97" s="124" t="s">
        <v>49</v>
      </c>
      <c r="C97" s="124"/>
      <c r="D97" s="124" t="s">
        <v>14</v>
      </c>
      <c r="E97" s="124"/>
      <c r="F97" s="124"/>
      <c r="G97" s="124"/>
      <c r="H97" s="125" t="s">
        <v>193</v>
      </c>
      <c r="I97" s="98" t="s">
        <v>50</v>
      </c>
      <c r="J97" s="129" t="s">
        <v>51</v>
      </c>
      <c r="K97" s="130"/>
      <c r="L97" s="130"/>
      <c r="M97" s="130"/>
      <c r="N97" s="131"/>
    </row>
    <row r="98" spans="2:14" ht="25.15" customHeight="1" x14ac:dyDescent="0.25">
      <c r="B98" s="124"/>
      <c r="C98" s="124"/>
      <c r="D98" s="96" t="s">
        <v>52</v>
      </c>
      <c r="E98" s="96" t="s">
        <v>53</v>
      </c>
      <c r="F98" s="96" t="s">
        <v>54</v>
      </c>
      <c r="G98" s="96" t="s">
        <v>55</v>
      </c>
      <c r="H98" s="126"/>
      <c r="I98" s="98" t="s">
        <v>56</v>
      </c>
      <c r="J98" s="96" t="s">
        <v>57</v>
      </c>
      <c r="K98" s="96" t="s">
        <v>58</v>
      </c>
      <c r="L98" s="96" t="s">
        <v>59</v>
      </c>
      <c r="M98" s="96" t="s">
        <v>60</v>
      </c>
      <c r="N98" s="96" t="s">
        <v>61</v>
      </c>
    </row>
    <row r="99" spans="2:14" x14ac:dyDescent="0.25">
      <c r="B99" s="139" t="s">
        <v>16</v>
      </c>
      <c r="C99" s="139"/>
      <c r="D99" s="14">
        <f t="shared" ref="D99:G102" si="15">IFERROR((D106/C106)-1,"")</f>
        <v>5.9393560487652319E-2</v>
      </c>
      <c r="E99" s="14">
        <f t="shared" si="15"/>
        <v>-2.3409068555129364E-2</v>
      </c>
      <c r="F99" s="14">
        <f t="shared" si="15"/>
        <v>-1.6114412327525418E-2</v>
      </c>
      <c r="G99" s="14">
        <f t="shared" si="15"/>
        <v>-3.2142491554918662E-2</v>
      </c>
      <c r="H99" s="12">
        <f t="shared" ref="H99:H102" si="16">_xlfn.RRI(3,D106,G106)</f>
        <v>-2.3910659857969918E-2</v>
      </c>
      <c r="I99" s="140"/>
      <c r="J99" s="141"/>
      <c r="K99" s="141"/>
      <c r="L99" s="141"/>
      <c r="M99" s="141"/>
      <c r="N99" s="142"/>
    </row>
    <row r="100" spans="2:14" x14ac:dyDescent="0.25">
      <c r="B100" s="143" t="s">
        <v>17</v>
      </c>
      <c r="C100" s="144"/>
      <c r="D100" s="14">
        <f t="shared" si="15"/>
        <v>0.18921001926782277</v>
      </c>
      <c r="E100" s="14">
        <f t="shared" si="15"/>
        <v>0.15035644847699281</v>
      </c>
      <c r="F100" s="14">
        <f t="shared" si="15"/>
        <v>-5.6338028169011789E-4</v>
      </c>
      <c r="G100" s="14">
        <f t="shared" si="15"/>
        <v>5.7215332581736167E-2</v>
      </c>
      <c r="H100" s="12">
        <f t="shared" si="16"/>
        <v>6.7211215840421001E-2</v>
      </c>
      <c r="I100" s="22">
        <f>IFERROR((I107/G107)-1,"")</f>
        <v>0.1804852039456144</v>
      </c>
      <c r="J100" s="15">
        <f t="shared" ref="J100:N102" si="17">IFERROR((J107/I107)-1,"")</f>
        <v>3.4778681120144483E-2</v>
      </c>
      <c r="K100" s="15">
        <f t="shared" si="17"/>
        <v>6.7219554779572199E-2</v>
      </c>
      <c r="L100" s="15">
        <f t="shared" si="17"/>
        <v>6.7280163599181986E-2</v>
      </c>
      <c r="M100" s="15">
        <f t="shared" si="17"/>
        <v>6.7062655681164873E-2</v>
      </c>
      <c r="N100" s="15">
        <f t="shared" si="17"/>
        <v>6.7337044352666631E-2</v>
      </c>
    </row>
    <row r="101" spans="2:14" x14ac:dyDescent="0.25">
      <c r="B101" s="143" t="s">
        <v>18</v>
      </c>
      <c r="C101" s="144"/>
      <c r="D101" s="14">
        <f t="shared" si="15"/>
        <v>0.1419999999999999</v>
      </c>
      <c r="E101" s="14">
        <f t="shared" si="15"/>
        <v>7.35551663747811E-2</v>
      </c>
      <c r="F101" s="14">
        <f t="shared" si="15"/>
        <v>0.16639477977161499</v>
      </c>
      <c r="G101" s="14">
        <f t="shared" si="15"/>
        <v>0.27832167832167842</v>
      </c>
      <c r="H101" s="12">
        <f t="shared" si="16"/>
        <v>0.16977776610258211</v>
      </c>
      <c r="I101" s="140"/>
      <c r="J101" s="141"/>
      <c r="K101" s="141"/>
      <c r="L101" s="141"/>
      <c r="M101" s="141"/>
      <c r="N101" s="142"/>
    </row>
    <row r="102" spans="2:14" ht="14.45" customHeight="1" x14ac:dyDescent="0.25">
      <c r="B102" s="139" t="s">
        <v>19</v>
      </c>
      <c r="C102" s="139"/>
      <c r="D102" s="14">
        <f t="shared" si="15"/>
        <v>8.9190040970690276E-2</v>
      </c>
      <c r="E102" s="14">
        <f t="shared" si="15"/>
        <v>1.9386574074074181E-2</v>
      </c>
      <c r="F102" s="14">
        <f t="shared" si="15"/>
        <v>-4.257734885041109E-3</v>
      </c>
      <c r="G102" s="14">
        <f t="shared" si="15"/>
        <v>6.2713797035347518E-3</v>
      </c>
      <c r="H102" s="12">
        <f t="shared" si="16"/>
        <v>7.0870014399937453E-3</v>
      </c>
      <c r="I102" s="22">
        <f>IFERROR((I109/G109)-1,"")</f>
        <v>3.8526912181303219E-2</v>
      </c>
      <c r="J102" s="15">
        <f t="shared" si="17"/>
        <v>-2.3390616475722825E-2</v>
      </c>
      <c r="K102" s="15">
        <f t="shared" si="17"/>
        <v>7.0525801270862054E-3</v>
      </c>
      <c r="L102" s="15">
        <f t="shared" si="17"/>
        <v>7.0725280820969072E-3</v>
      </c>
      <c r="M102" s="15">
        <f t="shared" si="17"/>
        <v>7.0917102726522074E-3</v>
      </c>
      <c r="N102" s="15">
        <f t="shared" si="17"/>
        <v>7.110138784439668E-3</v>
      </c>
    </row>
    <row r="104" spans="2:14" ht="25.9" customHeight="1" x14ac:dyDescent="0.25">
      <c r="B104" s="124" t="s">
        <v>62</v>
      </c>
      <c r="C104" s="124" t="s">
        <v>14</v>
      </c>
      <c r="D104" s="124"/>
      <c r="E104" s="124"/>
      <c r="F104" s="124"/>
      <c r="G104" s="124"/>
      <c r="H104" s="125" t="s">
        <v>193</v>
      </c>
      <c r="I104" s="98" t="s">
        <v>63</v>
      </c>
      <c r="J104" s="129" t="s">
        <v>51</v>
      </c>
      <c r="K104" s="130"/>
      <c r="L104" s="130"/>
      <c r="M104" s="130"/>
      <c r="N104" s="131"/>
    </row>
    <row r="105" spans="2:14" ht="25.9" customHeight="1" x14ac:dyDescent="0.25">
      <c r="B105" s="124"/>
      <c r="C105" s="96">
        <v>2015</v>
      </c>
      <c r="D105" s="96">
        <v>2016</v>
      </c>
      <c r="E105" s="96">
        <v>2017</v>
      </c>
      <c r="F105" s="96">
        <v>2018</v>
      </c>
      <c r="G105" s="96">
        <v>2019</v>
      </c>
      <c r="H105" s="126"/>
      <c r="I105" s="98">
        <v>2020</v>
      </c>
      <c r="J105" s="99">
        <v>2021</v>
      </c>
      <c r="K105" s="99">
        <v>2022</v>
      </c>
      <c r="L105" s="99">
        <v>2023</v>
      </c>
      <c r="M105" s="99">
        <v>2024</v>
      </c>
      <c r="N105" s="99">
        <v>2025</v>
      </c>
    </row>
    <row r="106" spans="2:14" ht="13.9" customHeight="1" x14ac:dyDescent="0.25">
      <c r="B106" s="10" t="s">
        <v>16</v>
      </c>
      <c r="C106" s="11">
        <f>C109-C107-C108</f>
        <v>9597</v>
      </c>
      <c r="D106" s="11">
        <f>D109-D107-D108</f>
        <v>10167</v>
      </c>
      <c r="E106" s="11">
        <f>E109-E107-E108</f>
        <v>9929</v>
      </c>
      <c r="F106" s="11">
        <f>F109-F107-F108</f>
        <v>9769</v>
      </c>
      <c r="G106" s="11">
        <f>G109-G107-G108</f>
        <v>9455</v>
      </c>
      <c r="H106" s="12">
        <f t="shared" ref="H106:H109" si="18">_xlfn.RRI(3,D106,G106)</f>
        <v>-2.3910659857969918E-2</v>
      </c>
      <c r="I106" s="140"/>
      <c r="J106" s="141"/>
      <c r="K106" s="141"/>
      <c r="L106" s="141"/>
      <c r="M106" s="141"/>
      <c r="N106" s="142"/>
    </row>
    <row r="107" spans="2:14" ht="13.9" customHeight="1" x14ac:dyDescent="0.25">
      <c r="B107" s="10" t="s">
        <v>17</v>
      </c>
      <c r="C107" s="11">
        <v>2595</v>
      </c>
      <c r="D107" s="11">
        <v>3086</v>
      </c>
      <c r="E107" s="11">
        <v>3550</v>
      </c>
      <c r="F107" s="11">
        <v>3548</v>
      </c>
      <c r="G107" s="11">
        <v>3751</v>
      </c>
      <c r="H107" s="12">
        <f t="shared" si="18"/>
        <v>6.7211215840421001E-2</v>
      </c>
      <c r="I107" s="18">
        <v>4428</v>
      </c>
      <c r="J107" s="13">
        <f>ROUND(J109*J24*(($I$107/$I$109)/$I$24),0)</f>
        <v>4582</v>
      </c>
      <c r="K107" s="13">
        <f>ROUND(K109*K24*(($I$107/$I$109)/$I$24),0)</f>
        <v>4890</v>
      </c>
      <c r="L107" s="13">
        <f>ROUND(L109*L24*(($I$107/$I$109)/$I$24),0)</f>
        <v>5219</v>
      </c>
      <c r="M107" s="13">
        <f>ROUND(M109*M24*(($I$107/$I$109)/$I$24),0)</f>
        <v>5569</v>
      </c>
      <c r="N107" s="13">
        <f>ROUND(N109*N24*(($I$107/$I$109)/$I$24),0)</f>
        <v>5944</v>
      </c>
    </row>
    <row r="108" spans="2:14" ht="13.9" customHeight="1" x14ac:dyDescent="0.25">
      <c r="B108" s="10" t="s">
        <v>18</v>
      </c>
      <c r="C108" s="11">
        <v>500</v>
      </c>
      <c r="D108" s="11">
        <v>571</v>
      </c>
      <c r="E108" s="11">
        <v>613</v>
      </c>
      <c r="F108" s="11">
        <v>715</v>
      </c>
      <c r="G108" s="11">
        <v>914</v>
      </c>
      <c r="H108" s="12">
        <f t="shared" si="18"/>
        <v>0.16977776610258211</v>
      </c>
      <c r="I108" s="145"/>
      <c r="J108" s="145"/>
      <c r="K108" s="145"/>
      <c r="L108" s="145"/>
      <c r="M108" s="145"/>
      <c r="N108" s="145"/>
    </row>
    <row r="109" spans="2:14" ht="13.9" customHeight="1" x14ac:dyDescent="0.25">
      <c r="B109" s="10" t="s">
        <v>19</v>
      </c>
      <c r="C109" s="11">
        <v>12692</v>
      </c>
      <c r="D109" s="11">
        <v>13824</v>
      </c>
      <c r="E109" s="11">
        <v>14092</v>
      </c>
      <c r="F109" s="11">
        <v>14032</v>
      </c>
      <c r="G109" s="11">
        <v>14120</v>
      </c>
      <c r="H109" s="12">
        <f t="shared" si="18"/>
        <v>7.0870014399937453E-3</v>
      </c>
      <c r="I109" s="18">
        <v>14664</v>
      </c>
      <c r="J109" s="13">
        <f>ROUND(G109*(1+$H109)*(1+$H109),0)</f>
        <v>14321</v>
      </c>
      <c r="K109" s="13">
        <f>ROUND(J109*(1+$H109),0)</f>
        <v>14422</v>
      </c>
      <c r="L109" s="13">
        <f>ROUND(K109*(1+$H109),0)</f>
        <v>14524</v>
      </c>
      <c r="M109" s="13">
        <f>ROUND(L109*(1+$H109),0)</f>
        <v>14627</v>
      </c>
      <c r="N109" s="13">
        <f>ROUND(M109*(1+$H109),0)</f>
        <v>14731</v>
      </c>
    </row>
    <row r="111" spans="2:14" ht="21" customHeight="1" x14ac:dyDescent="0.25">
      <c r="B111" s="118" t="s">
        <v>64</v>
      </c>
      <c r="C111" s="119"/>
      <c r="D111" s="119"/>
      <c r="E111" s="119"/>
      <c r="F111" s="119"/>
      <c r="G111" s="119"/>
      <c r="H111" s="119"/>
      <c r="I111" s="119"/>
      <c r="J111" s="119"/>
      <c r="K111" s="119"/>
      <c r="L111" s="119"/>
      <c r="M111" s="119"/>
      <c r="N111" s="119"/>
    </row>
    <row r="112" spans="2:14" ht="13.9" customHeight="1" x14ac:dyDescent="0.25"/>
    <row r="113" spans="2:14" ht="13.9" customHeight="1" x14ac:dyDescent="0.25">
      <c r="B113" s="146" t="s">
        <v>65</v>
      </c>
      <c r="C113" s="98" t="s">
        <v>63</v>
      </c>
      <c r="D113" s="146" t="s">
        <v>51</v>
      </c>
      <c r="E113" s="146"/>
      <c r="F113" s="146"/>
      <c r="G113" s="146"/>
      <c r="H113" s="146"/>
    </row>
    <row r="114" spans="2:14" ht="13.9" customHeight="1" x14ac:dyDescent="0.25">
      <c r="B114" s="146"/>
      <c r="C114" s="98">
        <v>2020</v>
      </c>
      <c r="D114" s="98">
        <v>2021</v>
      </c>
      <c r="E114" s="98">
        <v>2022</v>
      </c>
      <c r="F114" s="98">
        <v>2023</v>
      </c>
      <c r="G114" s="98">
        <v>2024</v>
      </c>
      <c r="H114" s="98">
        <v>2025</v>
      </c>
    </row>
    <row r="115" spans="2:14" ht="13.9" customHeight="1" x14ac:dyDescent="0.25">
      <c r="B115" s="17" t="s">
        <v>66</v>
      </c>
      <c r="C115" s="19">
        <f>(C69*2900)+(C70*917)+(C68*I37*0.8)</f>
        <v>35195604.629610971</v>
      </c>
      <c r="D115" s="19">
        <f>((J109-J107)*($C$69/($C$69+$C$70))*2900)+((J109-J107)*($C$70/($C$69+$C$70))*917)+(J107*J37*0.8)</f>
        <v>34299371.847519018</v>
      </c>
      <c r="E115" s="19">
        <f>((K109-K107)*($C$69/($C$69+$C$70))*2900)+((K109-K107)*($C$70/($C$69+$C$70))*917)+(K107*K37*0.8)</f>
        <v>34481128.428346239</v>
      </c>
      <c r="F115" s="19">
        <f>((L109-L107)*($C$69/($C$69+$C$70))*2900)+((L109-L107)*($C$70/($C$69+$C$70))*917)+(L107*L37*0.8)</f>
        <v>34681046.77433905</v>
      </c>
      <c r="G115" s="19">
        <f>((M109-M107)*($C$69/($C$69+$C$70))*2900)+((M109-M107)*($C$70/($C$69+$C$70))*917)+(M107*M37*0.8)</f>
        <v>34903610.445784397</v>
      </c>
      <c r="H115" s="19">
        <f>((N109-N107)*($C$69/($C$69+$C$70))*2900)+((N109-N107)*($C$70/($C$69+$C$70))*917)+(N107*N37*0.8)</f>
        <v>35150123.606705837</v>
      </c>
    </row>
    <row r="117" spans="2:14" ht="22.9" customHeight="1" x14ac:dyDescent="0.25">
      <c r="B117" s="122" t="s">
        <v>67</v>
      </c>
      <c r="C117" s="122"/>
      <c r="D117" s="122"/>
      <c r="E117" s="122"/>
      <c r="F117" s="122"/>
      <c r="G117" s="122"/>
      <c r="H117" s="122"/>
      <c r="I117" s="122"/>
      <c r="J117" s="122"/>
      <c r="K117" s="122"/>
      <c r="L117" s="122"/>
      <c r="M117" s="122"/>
      <c r="N117" s="122"/>
    </row>
    <row r="118" spans="2:14" ht="37.15" customHeight="1" x14ac:dyDescent="0.25">
      <c r="B118" s="118" t="s">
        <v>208</v>
      </c>
      <c r="C118" s="119"/>
      <c r="D118" s="119"/>
      <c r="E118" s="119"/>
      <c r="F118" s="119"/>
      <c r="G118" s="119"/>
      <c r="H118" s="119"/>
      <c r="I118" s="119"/>
      <c r="J118" s="119"/>
      <c r="K118" s="119"/>
      <c r="L118" s="119"/>
      <c r="M118" s="119"/>
      <c r="N118" s="119"/>
    </row>
    <row r="120" spans="2:14" ht="18" customHeight="1" x14ac:dyDescent="0.25">
      <c r="B120" s="133" t="s">
        <v>68</v>
      </c>
      <c r="C120" s="133"/>
      <c r="D120" s="133"/>
      <c r="E120" s="133"/>
      <c r="F120" s="133"/>
      <c r="G120" s="133"/>
      <c r="H120" s="133"/>
      <c r="I120" s="133"/>
      <c r="J120" s="133"/>
      <c r="K120" s="133"/>
      <c r="L120" s="133"/>
      <c r="M120" s="133"/>
      <c r="N120" s="133"/>
    </row>
    <row r="121" spans="2:14" ht="21" customHeight="1" x14ac:dyDescent="0.25">
      <c r="B121" s="118" t="s">
        <v>69</v>
      </c>
      <c r="C121" s="119"/>
      <c r="D121" s="119"/>
      <c r="E121" s="119"/>
      <c r="F121" s="119"/>
      <c r="G121" s="119"/>
      <c r="H121" s="119"/>
      <c r="I121" s="119"/>
      <c r="J121" s="119"/>
      <c r="K121" s="119"/>
      <c r="L121" s="119"/>
      <c r="M121" s="119"/>
      <c r="N121" s="119"/>
    </row>
    <row r="123" spans="2:14" ht="21.6" customHeight="1" x14ac:dyDescent="0.25">
      <c r="B123" s="133" t="s">
        <v>209</v>
      </c>
      <c r="C123" s="133"/>
      <c r="D123" s="133"/>
      <c r="E123" s="133"/>
      <c r="F123" s="133"/>
      <c r="G123" s="133"/>
      <c r="H123" s="133"/>
      <c r="I123" s="133"/>
      <c r="J123" s="133"/>
      <c r="K123" s="133"/>
      <c r="L123" s="133"/>
      <c r="M123" s="133"/>
      <c r="N123" s="133"/>
    </row>
    <row r="124" spans="2:14" ht="48" customHeight="1" x14ac:dyDescent="0.25">
      <c r="B124" s="118" t="s">
        <v>210</v>
      </c>
      <c r="C124" s="119"/>
      <c r="D124" s="119"/>
      <c r="E124" s="119"/>
      <c r="F124" s="119"/>
      <c r="G124" s="119"/>
      <c r="H124" s="119"/>
      <c r="I124" s="119"/>
      <c r="J124" s="119"/>
      <c r="K124" s="119"/>
      <c r="L124" s="119"/>
      <c r="M124" s="119"/>
      <c r="N124" s="119"/>
    </row>
    <row r="125" spans="2:14" ht="42" customHeight="1" x14ac:dyDescent="0.25">
      <c r="B125" s="118" t="s">
        <v>70</v>
      </c>
      <c r="C125" s="119"/>
      <c r="D125" s="119"/>
      <c r="E125" s="119"/>
      <c r="F125" s="119"/>
      <c r="G125" s="119"/>
      <c r="H125" s="119"/>
      <c r="I125" s="119"/>
      <c r="J125" s="119"/>
      <c r="K125" s="119"/>
      <c r="L125" s="119"/>
      <c r="M125" s="119"/>
      <c r="N125" s="119"/>
    </row>
    <row r="127" spans="2:14" ht="21" customHeight="1" x14ac:dyDescent="0.25">
      <c r="B127" s="133" t="s">
        <v>211</v>
      </c>
      <c r="C127" s="133"/>
      <c r="D127" s="133"/>
      <c r="E127" s="133"/>
      <c r="F127" s="133"/>
      <c r="G127" s="133"/>
      <c r="H127" s="133"/>
      <c r="I127" s="133"/>
      <c r="J127" s="133"/>
      <c r="K127" s="133"/>
      <c r="L127" s="133"/>
      <c r="M127" s="133"/>
      <c r="N127" s="133"/>
    </row>
    <row r="128" spans="2:14" ht="42" customHeight="1" x14ac:dyDescent="0.25">
      <c r="B128" s="118" t="s">
        <v>71</v>
      </c>
      <c r="C128" s="119"/>
      <c r="D128" s="119"/>
      <c r="E128" s="119"/>
      <c r="F128" s="119"/>
      <c r="G128" s="119"/>
      <c r="H128" s="119"/>
      <c r="I128" s="119"/>
      <c r="J128" s="119"/>
      <c r="K128" s="119"/>
      <c r="L128" s="119"/>
      <c r="M128" s="119"/>
      <c r="N128" s="119"/>
    </row>
    <row r="129" spans="2:14" ht="42" customHeight="1" x14ac:dyDescent="0.25">
      <c r="B129" s="118" t="s">
        <v>212</v>
      </c>
      <c r="C129" s="119"/>
      <c r="D129" s="119"/>
      <c r="E129" s="119"/>
      <c r="F129" s="119"/>
      <c r="G129" s="119"/>
      <c r="H129" s="119"/>
      <c r="I129" s="119"/>
      <c r="J129" s="119"/>
      <c r="K129" s="119"/>
      <c r="L129" s="119"/>
      <c r="M129" s="119"/>
      <c r="N129" s="119"/>
    </row>
    <row r="131" spans="2:14" ht="21" customHeight="1" x14ac:dyDescent="0.25">
      <c r="B131" s="133" t="s">
        <v>72</v>
      </c>
      <c r="C131" s="133"/>
      <c r="D131" s="133"/>
      <c r="E131" s="133"/>
      <c r="F131" s="133"/>
      <c r="G131" s="133"/>
      <c r="H131" s="133"/>
      <c r="I131" s="133"/>
      <c r="J131" s="133"/>
      <c r="K131" s="133"/>
      <c r="L131" s="133"/>
      <c r="M131" s="133"/>
      <c r="N131" s="133"/>
    </row>
    <row r="132" spans="2:14" s="97" customFormat="1" ht="43.15" customHeight="1" x14ac:dyDescent="0.25">
      <c r="B132" s="118" t="s">
        <v>73</v>
      </c>
      <c r="C132" s="119"/>
      <c r="D132" s="119"/>
      <c r="E132" s="119"/>
      <c r="F132" s="119"/>
      <c r="G132" s="119"/>
      <c r="H132" s="119"/>
      <c r="I132" s="119"/>
      <c r="J132" s="119"/>
      <c r="K132" s="119"/>
      <c r="L132" s="119"/>
      <c r="M132" s="119"/>
      <c r="N132" s="119"/>
    </row>
    <row r="134" spans="2:14" ht="21" customHeight="1" x14ac:dyDescent="0.25">
      <c r="B134" s="133" t="s">
        <v>74</v>
      </c>
      <c r="C134" s="133"/>
      <c r="D134" s="133"/>
      <c r="E134" s="133"/>
      <c r="F134" s="133"/>
      <c r="G134" s="133"/>
      <c r="H134" s="133"/>
      <c r="I134" s="133"/>
      <c r="J134" s="133"/>
      <c r="K134" s="133"/>
      <c r="L134" s="133"/>
      <c r="M134" s="133"/>
      <c r="N134" s="133"/>
    </row>
    <row r="135" spans="2:14" ht="42" customHeight="1" x14ac:dyDescent="0.25">
      <c r="B135" s="118" t="s">
        <v>75</v>
      </c>
      <c r="C135" s="119"/>
      <c r="D135" s="119"/>
      <c r="E135" s="119"/>
      <c r="F135" s="119"/>
      <c r="G135" s="119"/>
      <c r="H135" s="119"/>
      <c r="I135" s="119"/>
      <c r="J135" s="119"/>
      <c r="K135" s="119"/>
      <c r="L135" s="119"/>
      <c r="M135" s="119"/>
      <c r="N135" s="119"/>
    </row>
    <row r="137" spans="2:14" ht="15.75" x14ac:dyDescent="0.25">
      <c r="B137" s="122" t="s">
        <v>222</v>
      </c>
      <c r="C137" s="122"/>
      <c r="D137" s="122"/>
      <c r="E137" s="122"/>
      <c r="F137" s="122"/>
      <c r="G137" s="122"/>
      <c r="H137" s="122"/>
      <c r="I137" s="122"/>
      <c r="J137" s="122"/>
      <c r="K137" s="122"/>
      <c r="L137" s="122"/>
      <c r="M137" s="122"/>
      <c r="N137" s="122"/>
    </row>
    <row r="138" spans="2:14" ht="66" customHeight="1" x14ac:dyDescent="0.25">
      <c r="B138" s="118" t="s">
        <v>223</v>
      </c>
      <c r="C138" s="119"/>
      <c r="D138" s="119"/>
      <c r="E138" s="119"/>
      <c r="F138" s="119"/>
      <c r="G138" s="119"/>
      <c r="H138" s="119"/>
      <c r="I138" s="119"/>
      <c r="J138" s="119"/>
      <c r="K138" s="119"/>
      <c r="L138" s="119"/>
      <c r="M138" s="119"/>
      <c r="N138" s="119"/>
    </row>
    <row r="139" spans="2:14" ht="21" customHeight="1" x14ac:dyDescent="0.25">
      <c r="B139" s="118" t="s">
        <v>224</v>
      </c>
      <c r="C139" s="119"/>
      <c r="D139" s="119"/>
      <c r="E139" s="119"/>
      <c r="F139" s="119"/>
      <c r="G139" s="119"/>
      <c r="H139" s="119"/>
      <c r="I139" s="119"/>
      <c r="J139" s="119"/>
      <c r="K139" s="119"/>
      <c r="L139" s="119"/>
      <c r="M139" s="119"/>
      <c r="N139" s="119"/>
    </row>
  </sheetData>
  <sheetProtection algorithmName="SHA-512" hashValue="Mj5PuZoRqezrqvGkJ+QSgFvlY7xlv4nRgAGBEhpvz/ATA63TXlo++AbyLbI47NlX+aOv1vS2TdtuaXSCvPcGKw==" saltValue="tD0ukaZXuxMGBeap6AUgbg==" spinCount="100000" sheet="1" objects="1" scenarios="1" selectLockedCells="1" selectUnlockedCells="1"/>
  <mergeCells count="95">
    <mergeCell ref="B131:N131"/>
    <mergeCell ref="B132:N132"/>
    <mergeCell ref="B134:N134"/>
    <mergeCell ref="B135:N135"/>
    <mergeCell ref="B124:N124"/>
    <mergeCell ref="B125:N125"/>
    <mergeCell ref="B127:N127"/>
    <mergeCell ref="B128:N128"/>
    <mergeCell ref="B129:N129"/>
    <mergeCell ref="B117:N117"/>
    <mergeCell ref="B118:N118"/>
    <mergeCell ref="B120:N120"/>
    <mergeCell ref="B121:N121"/>
    <mergeCell ref="B123:N123"/>
    <mergeCell ref="I106:N106"/>
    <mergeCell ref="I108:N108"/>
    <mergeCell ref="B111:N111"/>
    <mergeCell ref="B113:B114"/>
    <mergeCell ref="D113:H113"/>
    <mergeCell ref="B102:C102"/>
    <mergeCell ref="B104:B105"/>
    <mergeCell ref="C104:G104"/>
    <mergeCell ref="H104:H105"/>
    <mergeCell ref="J104:N104"/>
    <mergeCell ref="B99:C99"/>
    <mergeCell ref="I99:N99"/>
    <mergeCell ref="B100:C100"/>
    <mergeCell ref="B101:C101"/>
    <mergeCell ref="I101:N101"/>
    <mergeCell ref="B95:N95"/>
    <mergeCell ref="B97:C98"/>
    <mergeCell ref="D97:G97"/>
    <mergeCell ref="H97:H98"/>
    <mergeCell ref="J97:N97"/>
    <mergeCell ref="B83:B84"/>
    <mergeCell ref="B91:N91"/>
    <mergeCell ref="B92:N92"/>
    <mergeCell ref="B93:N93"/>
    <mergeCell ref="B94:N94"/>
    <mergeCell ref="B77:N77"/>
    <mergeCell ref="B78:N78"/>
    <mergeCell ref="B79:N79"/>
    <mergeCell ref="B80:N80"/>
    <mergeCell ref="B81:N81"/>
    <mergeCell ref="B64:N64"/>
    <mergeCell ref="B66:B67"/>
    <mergeCell ref="B73:N73"/>
    <mergeCell ref="B74:N74"/>
    <mergeCell ref="B75:N75"/>
    <mergeCell ref="H49:H50"/>
    <mergeCell ref="I49:N49"/>
    <mergeCell ref="B56:N56"/>
    <mergeCell ref="B57:N57"/>
    <mergeCell ref="B59:B60"/>
    <mergeCell ref="C59:G59"/>
    <mergeCell ref="H59:H60"/>
    <mergeCell ref="I59:N59"/>
    <mergeCell ref="B28:N28"/>
    <mergeCell ref="B32:N32"/>
    <mergeCell ref="B33:N33"/>
    <mergeCell ref="B35:B36"/>
    <mergeCell ref="C35:G35"/>
    <mergeCell ref="H35:H36"/>
    <mergeCell ref="I35:N35"/>
    <mergeCell ref="B22:B23"/>
    <mergeCell ref="C22:G22"/>
    <mergeCell ref="H22:H23"/>
    <mergeCell ref="I22:N22"/>
    <mergeCell ref="B27:N27"/>
    <mergeCell ref="B13:N13"/>
    <mergeCell ref="B15:B16"/>
    <mergeCell ref="C15:G15"/>
    <mergeCell ref="H15:H16"/>
    <mergeCell ref="I15:N15"/>
    <mergeCell ref="B6:N6"/>
    <mergeCell ref="B8:N8"/>
    <mergeCell ref="B9:N9"/>
    <mergeCell ref="B11:N11"/>
    <mergeCell ref="B12:N12"/>
    <mergeCell ref="B139:N139"/>
    <mergeCell ref="B30:N30"/>
    <mergeCell ref="B29:N29"/>
    <mergeCell ref="B137:N137"/>
    <mergeCell ref="B138:N138"/>
    <mergeCell ref="B53:N53"/>
    <mergeCell ref="B54:N54"/>
    <mergeCell ref="B40:B41"/>
    <mergeCell ref="C40:G40"/>
    <mergeCell ref="H40:H41"/>
    <mergeCell ref="I40:N40"/>
    <mergeCell ref="B45:N45"/>
    <mergeCell ref="B46:N46"/>
    <mergeCell ref="B47:N47"/>
    <mergeCell ref="B49:B50"/>
    <mergeCell ref="C49:G49"/>
  </mergeCells>
  <pageMargins left="0.25" right="0.25" top="0.75" bottom="0.75" header="0.3" footer="0.3"/>
  <pageSetup paperSize="9" scale="67" fitToHeight="0" orientation="landscape" r:id="rId1"/>
  <ignoredErrors>
    <ignoredError sqref="J19:N1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1AECB"/>
    <pageSetUpPr fitToPage="1"/>
  </sheetPr>
  <dimension ref="B1:H75"/>
  <sheetViews>
    <sheetView showGridLines="0" showRowColHeaders="0" zoomScaleNormal="100" workbookViewId="0">
      <selection activeCell="C22" sqref="C22"/>
    </sheetView>
  </sheetViews>
  <sheetFormatPr baseColWidth="10" defaultColWidth="11.42578125" defaultRowHeight="15" customHeight="1" x14ac:dyDescent="0.25"/>
  <cols>
    <col min="1" max="1" width="3.85546875" style="23" bestFit="1" customWidth="1"/>
    <col min="2" max="2" width="52.85546875" style="23" bestFit="1" customWidth="1"/>
    <col min="3" max="7" width="18.5703125" style="23" bestFit="1" customWidth="1"/>
    <col min="8" max="8" width="23.7109375" style="23" bestFit="1" customWidth="1"/>
    <col min="9" max="9" width="11.42578125" style="23" bestFit="1"/>
    <col min="10" max="16384" width="11.42578125" style="23"/>
  </cols>
  <sheetData>
    <row r="1" spans="2:8" ht="21" customHeight="1" x14ac:dyDescent="0.25">
      <c r="B1" s="101" t="s">
        <v>181</v>
      </c>
    </row>
    <row r="2" spans="2:8" ht="18.75" customHeight="1" x14ac:dyDescent="0.25">
      <c r="B2" s="102" t="s">
        <v>0</v>
      </c>
    </row>
    <row r="3" spans="2:8" ht="18.75" customHeight="1" x14ac:dyDescent="0.25">
      <c r="B3" s="103" t="s">
        <v>76</v>
      </c>
    </row>
    <row r="4" spans="2:8" ht="15" customHeight="1" x14ac:dyDescent="0.25">
      <c r="B4" s="104">
        <f>ReadMe!B4</f>
        <v>44404</v>
      </c>
    </row>
    <row r="5" spans="2:8" ht="15" customHeight="1" x14ac:dyDescent="0.25">
      <c r="B5" s="104"/>
    </row>
    <row r="6" spans="2:8" ht="48.75" customHeight="1" x14ac:dyDescent="0.25">
      <c r="B6" s="118" t="s">
        <v>228</v>
      </c>
      <c r="C6" s="119"/>
      <c r="D6" s="119"/>
      <c r="E6" s="119"/>
      <c r="F6" s="119"/>
      <c r="G6" s="119"/>
      <c r="H6" s="119"/>
    </row>
    <row r="7" spans="2:8" ht="15" customHeight="1" x14ac:dyDescent="0.25">
      <c r="B7" s="94"/>
      <c r="C7" s="94"/>
      <c r="D7" s="94"/>
      <c r="E7" s="94"/>
      <c r="F7" s="94"/>
      <c r="G7" s="94"/>
      <c r="H7" s="94"/>
    </row>
    <row r="8" spans="2:8" ht="21" customHeight="1" x14ac:dyDescent="0.25">
      <c r="B8" s="122" t="s">
        <v>92</v>
      </c>
      <c r="C8" s="122"/>
      <c r="D8" s="122"/>
      <c r="E8" s="122"/>
      <c r="F8" s="122"/>
      <c r="G8" s="122"/>
      <c r="H8" s="122"/>
    </row>
    <row r="9" spans="2:8" ht="15" customHeight="1" x14ac:dyDescent="0.25">
      <c r="B9" s="94"/>
      <c r="C9" s="94"/>
      <c r="D9" s="94"/>
      <c r="E9" s="94"/>
      <c r="F9" s="94"/>
      <c r="G9" s="94"/>
      <c r="H9" s="94"/>
    </row>
    <row r="10" spans="2:8" ht="25.15" customHeight="1" x14ac:dyDescent="0.25">
      <c r="B10" s="28" t="s">
        <v>92</v>
      </c>
      <c r="C10" s="170" t="s">
        <v>93</v>
      </c>
      <c r="D10" s="171"/>
      <c r="E10" s="171"/>
      <c r="F10" s="171"/>
      <c r="G10" s="171"/>
      <c r="H10" s="172"/>
    </row>
    <row r="11" spans="2:8" ht="72.599999999999994" customHeight="1" x14ac:dyDescent="0.25">
      <c r="B11" s="79" t="s">
        <v>68</v>
      </c>
      <c r="C11" s="168" t="s">
        <v>69</v>
      </c>
      <c r="D11" s="169"/>
      <c r="E11" s="169"/>
      <c r="F11" s="169"/>
      <c r="G11" s="169"/>
      <c r="H11" s="169"/>
    </row>
    <row r="12" spans="2:8" ht="72.599999999999994" customHeight="1" x14ac:dyDescent="0.25">
      <c r="B12" s="79" t="str">
        <f>IF(Settings!C24&gt;=0,CONCATENATE("Access to all journals (",Settings!C24*100,"% increase in subscriptions)"),CONCATENATE(ABS(Settings!C24)*100,"% decrease in subscriptions"))</f>
        <v>Access to all journals (40% increase in subscriptions)</v>
      </c>
      <c r="C12" s="168" t="s">
        <v>177</v>
      </c>
      <c r="D12" s="169"/>
      <c r="E12" s="169"/>
      <c r="F12" s="169"/>
      <c r="G12" s="169"/>
      <c r="H12" s="169"/>
    </row>
    <row r="13" spans="2:8" ht="72.599999999999994" customHeight="1" x14ac:dyDescent="0.25">
      <c r="B13" s="79" t="str">
        <f>IF(Settings!C25&gt;0,CONCATENATE(Settings!C25*100,"% Open Access by 2025",IF(C25=0.7," (BMBF target)",""),""))</f>
        <v>70% Open Access by 2025 (BMBF target)</v>
      </c>
      <c r="C13" s="168" t="s">
        <v>229</v>
      </c>
      <c r="D13" s="169"/>
      <c r="E13" s="169"/>
      <c r="F13" s="169"/>
      <c r="G13" s="169"/>
      <c r="H13" s="169"/>
    </row>
    <row r="14" spans="2:8" ht="72.599999999999994" customHeight="1" x14ac:dyDescent="0.25">
      <c r="B14" s="79" t="s">
        <v>94</v>
      </c>
      <c r="C14" s="168" t="s">
        <v>95</v>
      </c>
      <c r="D14" s="169"/>
      <c r="E14" s="169"/>
      <c r="F14" s="169"/>
      <c r="G14" s="169"/>
      <c r="H14" s="169"/>
    </row>
    <row r="15" spans="2:8" ht="72.599999999999994" customHeight="1" x14ac:dyDescent="0.25">
      <c r="B15" s="79" t="str">
        <f>IF(Settings!C24&gt;=0,"100% OA and access to all journals",CONCATENATE("100% OA and ",B12))</f>
        <v>100% OA and access to all journals</v>
      </c>
      <c r="C15" s="168" t="s">
        <v>178</v>
      </c>
      <c r="D15" s="169"/>
      <c r="E15" s="169"/>
      <c r="F15" s="169"/>
      <c r="G15" s="169"/>
      <c r="H15" s="169"/>
    </row>
    <row r="16" spans="2:8" ht="15" customHeight="1" x14ac:dyDescent="0.25">
      <c r="B16" s="94"/>
      <c r="C16" s="94"/>
      <c r="D16" s="94"/>
      <c r="E16" s="94"/>
      <c r="F16" s="94"/>
      <c r="G16" s="94"/>
      <c r="H16" s="94"/>
    </row>
    <row r="17" spans="2:8" ht="36" customHeight="1" x14ac:dyDescent="0.25">
      <c r="B17" s="119" t="s">
        <v>230</v>
      </c>
      <c r="C17" s="119"/>
      <c r="D17" s="119"/>
      <c r="E17" s="119"/>
      <c r="F17" s="119"/>
      <c r="G17" s="119"/>
      <c r="H17" s="119"/>
    </row>
    <row r="18" spans="2:8" ht="15" customHeight="1" x14ac:dyDescent="0.25">
      <c r="B18" s="94"/>
      <c r="C18" s="94"/>
      <c r="D18" s="94"/>
      <c r="E18" s="94"/>
      <c r="F18" s="94"/>
      <c r="G18" s="94"/>
      <c r="H18" s="94"/>
    </row>
    <row r="19" spans="2:8" ht="21.6" customHeight="1" x14ac:dyDescent="0.25">
      <c r="B19" s="159" t="s">
        <v>173</v>
      </c>
      <c r="C19" s="159"/>
      <c r="D19" s="159"/>
      <c r="E19" s="159"/>
      <c r="F19" s="159"/>
      <c r="G19" s="159"/>
      <c r="H19" s="159"/>
    </row>
    <row r="21" spans="2:8" ht="30" customHeight="1" x14ac:dyDescent="0.25">
      <c r="B21" s="165" t="s">
        <v>77</v>
      </c>
      <c r="C21" s="166"/>
      <c r="D21" s="165" t="s">
        <v>93</v>
      </c>
      <c r="E21" s="167"/>
      <c r="F21" s="167"/>
      <c r="G21" s="167"/>
      <c r="H21" s="167"/>
    </row>
    <row r="22" spans="2:8" ht="84" customHeight="1" x14ac:dyDescent="0.25">
      <c r="B22" s="24" t="s">
        <v>78</v>
      </c>
      <c r="C22" s="90">
        <f>Methodology!H20</f>
        <v>7.0870014399937453E-3</v>
      </c>
      <c r="D22" s="156" t="s">
        <v>174</v>
      </c>
      <c r="E22" s="157"/>
      <c r="F22" s="157"/>
      <c r="G22" s="157"/>
      <c r="H22" s="158"/>
    </row>
    <row r="23" spans="2:8" ht="84" customHeight="1" x14ac:dyDescent="0.25">
      <c r="B23" s="24" t="s">
        <v>79</v>
      </c>
      <c r="C23" s="90">
        <v>0.03</v>
      </c>
      <c r="D23" s="156" t="s">
        <v>231</v>
      </c>
      <c r="E23" s="157"/>
      <c r="F23" s="157"/>
      <c r="G23" s="157"/>
      <c r="H23" s="158"/>
    </row>
    <row r="24" spans="2:8" ht="84" customHeight="1" x14ac:dyDescent="0.25">
      <c r="B24" s="24" t="s">
        <v>80</v>
      </c>
      <c r="C24" s="90">
        <v>0.4</v>
      </c>
      <c r="D24" s="156" t="s">
        <v>232</v>
      </c>
      <c r="E24" s="157"/>
      <c r="F24" s="157"/>
      <c r="G24" s="157"/>
      <c r="H24" s="158"/>
    </row>
    <row r="25" spans="2:8" ht="84" customHeight="1" x14ac:dyDescent="0.25">
      <c r="B25" s="24" t="s">
        <v>81</v>
      </c>
      <c r="C25" s="90">
        <v>0.7</v>
      </c>
      <c r="D25" s="156" t="s">
        <v>233</v>
      </c>
      <c r="E25" s="157"/>
      <c r="F25" s="157"/>
      <c r="G25" s="157"/>
      <c r="H25" s="158"/>
    </row>
    <row r="27" spans="2:8" ht="16.5" customHeight="1" x14ac:dyDescent="0.25">
      <c r="B27" s="159" t="s">
        <v>175</v>
      </c>
      <c r="C27" s="159"/>
      <c r="D27" s="159"/>
      <c r="E27" s="159"/>
      <c r="F27" s="159"/>
      <c r="G27" s="159"/>
      <c r="H27" s="159"/>
    </row>
    <row r="29" spans="2:8" ht="21" customHeight="1" x14ac:dyDescent="0.25">
      <c r="B29" s="123" t="s">
        <v>234</v>
      </c>
      <c r="C29" s="160"/>
      <c r="D29" s="160"/>
      <c r="E29" s="160"/>
      <c r="F29" s="160"/>
      <c r="G29" s="160"/>
      <c r="H29" s="160"/>
    </row>
    <row r="31" spans="2:8" ht="36" customHeight="1" x14ac:dyDescent="0.25">
      <c r="B31" s="81" t="s">
        <v>82</v>
      </c>
      <c r="C31" s="25">
        <v>2020</v>
      </c>
      <c r="D31" s="162" t="s">
        <v>93</v>
      </c>
      <c r="E31" s="163"/>
      <c r="F31" s="163"/>
      <c r="G31" s="163"/>
      <c r="H31" s="164"/>
    </row>
    <row r="32" spans="2:8" ht="25.9" customHeight="1" x14ac:dyDescent="0.25">
      <c r="B32" s="82" t="s">
        <v>83</v>
      </c>
      <c r="C32" s="111" t="s">
        <v>190</v>
      </c>
      <c r="D32" s="147" t="s">
        <v>235</v>
      </c>
      <c r="E32" s="148"/>
      <c r="F32" s="148"/>
      <c r="G32" s="148"/>
      <c r="H32" s="149"/>
    </row>
    <row r="33" spans="2:8" ht="25.9" customHeight="1" x14ac:dyDescent="0.25">
      <c r="B33" s="82" t="s">
        <v>84</v>
      </c>
      <c r="C33" s="111" t="s">
        <v>190</v>
      </c>
      <c r="D33" s="150"/>
      <c r="E33" s="151"/>
      <c r="F33" s="151"/>
      <c r="G33" s="151"/>
      <c r="H33" s="152"/>
    </row>
    <row r="34" spans="2:8" ht="25.9" customHeight="1" x14ac:dyDescent="0.25">
      <c r="B34" s="82" t="s">
        <v>85</v>
      </c>
      <c r="C34" s="111" t="s">
        <v>190</v>
      </c>
      <c r="D34" s="153"/>
      <c r="E34" s="154"/>
      <c r="F34" s="154"/>
      <c r="G34" s="154"/>
      <c r="H34" s="155"/>
    </row>
    <row r="36" spans="2:8" ht="21" customHeight="1" x14ac:dyDescent="0.25">
      <c r="B36" s="123" t="s">
        <v>236</v>
      </c>
      <c r="C36" s="160"/>
      <c r="D36" s="160"/>
      <c r="E36" s="160"/>
      <c r="F36" s="160"/>
      <c r="G36" s="160"/>
      <c r="H36" s="160"/>
    </row>
    <row r="38" spans="2:8" ht="33" customHeight="1" x14ac:dyDescent="0.25">
      <c r="B38" s="25"/>
      <c r="C38" s="25">
        <v>2015</v>
      </c>
      <c r="D38" s="25">
        <v>2016</v>
      </c>
      <c r="E38" s="25">
        <v>2017</v>
      </c>
      <c r="F38" s="25">
        <v>2018</v>
      </c>
      <c r="G38" s="25">
        <v>2019</v>
      </c>
      <c r="H38" s="92" t="s">
        <v>214</v>
      </c>
    </row>
    <row r="39" spans="2:8" ht="15" customHeight="1" x14ac:dyDescent="0.25">
      <c r="B39" s="26" t="s">
        <v>86</v>
      </c>
      <c r="C39" s="112" t="s">
        <v>190</v>
      </c>
      <c r="D39" s="112" t="s">
        <v>190</v>
      </c>
      <c r="E39" s="112" t="s">
        <v>190</v>
      </c>
      <c r="F39" s="112" t="s">
        <v>190</v>
      </c>
      <c r="G39" s="112" t="s">
        <v>190</v>
      </c>
      <c r="H39" s="107" t="str">
        <f>IFERROR(_xlfn.RRI(4,C39,G39),"")</f>
        <v/>
      </c>
    </row>
    <row r="41" spans="2:8" ht="27" customHeight="1" x14ac:dyDescent="0.25">
      <c r="B41" s="137" t="str">
        <f>IFERROR(CONCATENATE("Based on the entered subscription fees, your average annual price increase is ",ROUND(G39*100,1),"%."),"Entering the data above will automatically calculate the annual price increase rate applied to your institution's subscription fees.")</f>
        <v>Entering the data above will automatically calculate the annual price increase rate applied to your institution's subscription fees.</v>
      </c>
      <c r="C41" s="137"/>
      <c r="D41" s="137"/>
      <c r="E41" s="137"/>
      <c r="F41" s="137"/>
      <c r="G41" s="137"/>
      <c r="H41" s="137"/>
    </row>
    <row r="42" spans="2:8" ht="42.6" customHeight="1" x14ac:dyDescent="0.25">
      <c r="B42" s="118" t="s">
        <v>237</v>
      </c>
      <c r="C42" s="119"/>
      <c r="D42" s="119"/>
      <c r="E42" s="119"/>
      <c r="F42" s="119"/>
      <c r="G42" s="119"/>
      <c r="H42" s="119"/>
    </row>
    <row r="44" spans="2:8" ht="21.6" customHeight="1" x14ac:dyDescent="0.25">
      <c r="B44" s="123" t="s">
        <v>238</v>
      </c>
      <c r="C44" s="160"/>
      <c r="D44" s="160"/>
      <c r="E44" s="160"/>
      <c r="F44" s="160"/>
      <c r="G44" s="160"/>
      <c r="H44" s="160"/>
    </row>
    <row r="46" spans="2:8" ht="33.75" customHeight="1" x14ac:dyDescent="0.25">
      <c r="B46" s="118" t="s">
        <v>239</v>
      </c>
      <c r="C46" s="119"/>
      <c r="D46" s="119"/>
      <c r="E46" s="119"/>
      <c r="F46" s="119"/>
      <c r="G46" s="119"/>
      <c r="H46" s="119"/>
    </row>
    <row r="48" spans="2:8" ht="33" customHeight="1" x14ac:dyDescent="0.25">
      <c r="B48" s="25" t="s">
        <v>87</v>
      </c>
      <c r="C48" s="25">
        <v>2015</v>
      </c>
      <c r="D48" s="25">
        <v>2016</v>
      </c>
      <c r="E48" s="25">
        <v>2017</v>
      </c>
      <c r="F48" s="25">
        <v>2018</v>
      </c>
      <c r="G48" s="25">
        <v>2019</v>
      </c>
      <c r="H48" s="92" t="s">
        <v>214</v>
      </c>
    </row>
    <row r="49" spans="2:8" ht="15" customHeight="1" x14ac:dyDescent="0.25">
      <c r="B49" s="26" t="s">
        <v>88</v>
      </c>
      <c r="C49" s="27">
        <f>MAX(IFERROR(ROUND(D49/(1+Methodology!D$102),0),0),0)</f>
        <v>0</v>
      </c>
      <c r="D49" s="27">
        <f>MAX(IFERROR(ROUND(E49/(1+Methodology!E$102),0),0),0)</f>
        <v>0</v>
      </c>
      <c r="E49" s="27">
        <f>MAX(IFERROR(ROUND(F49/(1+Methodology!F$102),0),0),0)</f>
        <v>0</v>
      </c>
      <c r="F49" s="27">
        <f>MAX(IFERROR(ROUND(G49/(1+Methodology!G$102),0),0),0)</f>
        <v>0</v>
      </c>
      <c r="G49" s="27">
        <f>MAX(IFERROR(ROUND(SUM((C32+C33),C34*2.4)/(1+Methodology!$I$102),0),0),0)</f>
        <v>0</v>
      </c>
      <c r="H49" s="108" t="str">
        <f>IF(AND(ISNUMBER($C$32),ISNUMBER($C$33),ISNUMBER($C$34)),_xlfn.RRI(3,D49,G49),"complete Step 1")</f>
        <v>complete Step 1</v>
      </c>
    </row>
    <row r="50" spans="2:8" ht="15" customHeight="1" x14ac:dyDescent="0.25">
      <c r="B50" s="26" t="s">
        <v>89</v>
      </c>
      <c r="C50" s="27">
        <f>MAX(IFERROR(ROUND(C49*Methodology!C24*($C$34*2.4/SUM($C$32:$C$33,$C$34*2.4)/Methodology!$I$24),0),0),0)</f>
        <v>0</v>
      </c>
      <c r="D50" s="27">
        <f>MAX(IFERROR(ROUND(D49*Methodology!D24*($C$34*2.4/SUM($C$32:$C$33,$C$34*2.4)/Methodology!$I$24),0),0),0)</f>
        <v>0</v>
      </c>
      <c r="E50" s="27">
        <f>MAX(IFERROR(ROUND(E49*Methodology!E24*($C$34*2.4/SUM($C$32:$C$33,$C$34*2.4)/Methodology!$I$24),0),0),0)</f>
        <v>0</v>
      </c>
      <c r="F50" s="27">
        <f>MAX(IFERROR(ROUND(F49*Methodology!F24*($C$34*2.4/SUM($C$32:$C$33,$C$34*2.4)/Methodology!$I$24),0),0),0)</f>
        <v>0</v>
      </c>
      <c r="G50" s="27">
        <f>MAX(IFERROR(ROUND(G49*Methodology!G24*($C$34*2.4/SUM($C$32:$C$33,$C$34*2.4)/Methodology!$I$24),0),0),0)</f>
        <v>0</v>
      </c>
      <c r="H50" s="108" t="str">
        <f>IF(AND(ISNUMBER($C$32),ISNUMBER($C$33),ISNUMBER($C$34)),_xlfn.RRI(3,D50,G50),"complete Step 1")</f>
        <v>complete Step 1</v>
      </c>
    </row>
    <row r="51" spans="2:8" ht="15" customHeight="1" x14ac:dyDescent="0.25">
      <c r="B51" s="26" t="s">
        <v>90</v>
      </c>
      <c r="C51" s="27">
        <f>MAX(IFERROR(ROUND((C49-C50)*Methodology!C25,0),0),0)</f>
        <v>0</v>
      </c>
      <c r="D51" s="27">
        <f>MAX(IFERROR(ROUND((D49-D50)*Methodology!D25,0),0),0)</f>
        <v>0</v>
      </c>
      <c r="E51" s="27">
        <f>MAX(IFERROR(ROUND((E49-E50)*Methodology!E25,0),0),0)</f>
        <v>0</v>
      </c>
      <c r="F51" s="27">
        <f>MAX(IFERROR(ROUND((F49-F50)*Methodology!F25,0),0),0)</f>
        <v>0</v>
      </c>
      <c r="G51" s="27">
        <f>MAX(IFERROR(ROUND((G49-G50)*Methodology!G25,0),0),0)</f>
        <v>0</v>
      </c>
      <c r="H51" s="108" t="str">
        <f>IF(AND(ISNUMBER($C$32),ISNUMBER($C$33),ISNUMBER($C$34)),_xlfn.RRI(3,D51,G51),"complete Step 1")</f>
        <v>complete Step 1</v>
      </c>
    </row>
    <row r="53" spans="2:8" ht="48.75" customHeight="1" x14ac:dyDescent="0.25">
      <c r="B53" s="118" t="s">
        <v>240</v>
      </c>
      <c r="C53" s="119"/>
      <c r="D53" s="119"/>
      <c r="E53" s="119"/>
      <c r="F53" s="119"/>
      <c r="G53" s="119"/>
      <c r="H53" s="119"/>
    </row>
    <row r="55" spans="2:8" ht="33" customHeight="1" x14ac:dyDescent="0.25">
      <c r="B55" s="25" t="s">
        <v>91</v>
      </c>
      <c r="C55" s="25">
        <v>2015</v>
      </c>
      <c r="D55" s="25">
        <v>2016</v>
      </c>
      <c r="E55" s="25">
        <v>2017</v>
      </c>
      <c r="F55" s="25">
        <v>2018</v>
      </c>
      <c r="G55" s="25">
        <v>2019</v>
      </c>
      <c r="H55" s="92" t="s">
        <v>214</v>
      </c>
    </row>
    <row r="56" spans="2:8" ht="15" customHeight="1" x14ac:dyDescent="0.25">
      <c r="B56" s="26" t="s">
        <v>88</v>
      </c>
      <c r="C56" s="111" t="s">
        <v>190</v>
      </c>
      <c r="D56" s="111" t="s">
        <v>190</v>
      </c>
      <c r="E56" s="111" t="s">
        <v>190</v>
      </c>
      <c r="F56" s="111" t="s">
        <v>190</v>
      </c>
      <c r="G56" s="111" t="s">
        <v>190</v>
      </c>
      <c r="H56" s="108" t="str">
        <f t="shared" ref="H56:H58" si="0">IFERROR(_xlfn.RRI(3,D56,G56),"")</f>
        <v/>
      </c>
    </row>
    <row r="57" spans="2:8" ht="15" customHeight="1" x14ac:dyDescent="0.25">
      <c r="B57" s="26" t="s">
        <v>89</v>
      </c>
      <c r="C57" s="111" t="s">
        <v>190</v>
      </c>
      <c r="D57" s="111" t="s">
        <v>190</v>
      </c>
      <c r="E57" s="111" t="s">
        <v>190</v>
      </c>
      <c r="F57" s="111" t="s">
        <v>190</v>
      </c>
      <c r="G57" s="111" t="s">
        <v>190</v>
      </c>
      <c r="H57" s="108" t="str">
        <f t="shared" si="0"/>
        <v/>
      </c>
    </row>
    <row r="58" spans="2:8" ht="15" customHeight="1" x14ac:dyDescent="0.25">
      <c r="B58" s="26" t="s">
        <v>90</v>
      </c>
      <c r="C58" s="111" t="s">
        <v>190</v>
      </c>
      <c r="D58" s="111" t="s">
        <v>190</v>
      </c>
      <c r="E58" s="111" t="s">
        <v>190</v>
      </c>
      <c r="F58" s="111" t="s">
        <v>190</v>
      </c>
      <c r="G58" s="111" t="s">
        <v>190</v>
      </c>
      <c r="H58" s="108" t="str">
        <f t="shared" si="0"/>
        <v/>
      </c>
    </row>
    <row r="60" spans="2:8" ht="18.75" customHeight="1" x14ac:dyDescent="0.25">
      <c r="B60" s="118" t="s">
        <v>241</v>
      </c>
      <c r="C60" s="119"/>
      <c r="D60" s="119"/>
      <c r="E60" s="119"/>
      <c r="F60" s="119"/>
      <c r="G60" s="119"/>
      <c r="H60" s="119"/>
    </row>
    <row r="62" spans="2:8" ht="18.75" customHeight="1" x14ac:dyDescent="0.25">
      <c r="B62" s="123" t="s">
        <v>176</v>
      </c>
      <c r="C62" s="160"/>
      <c r="D62" s="160"/>
      <c r="E62" s="160"/>
      <c r="F62" s="160"/>
      <c r="G62" s="160"/>
      <c r="H62" s="160"/>
    </row>
    <row r="64" spans="2:8" ht="48" customHeight="1" x14ac:dyDescent="0.25">
      <c r="B64" s="137" t="str">
        <f>IF('Institutional Projections'!$B$157=TRUE,IFERROR(CONCATENATE("Based on the 2015-2019 data entered in step 3, the total number of expected articles in 2020 deviates from the actual 2020 numbers entered in step 1 by ",ROUND(data2!L5*100,0),"%"),""),"Step 5 – Go to the Institutional projection tab and select the desired cost scenario to visualize the relative projections.")</f>
        <v>Step 5 – Go to the Institutional projection tab and select the desired cost scenario to visualize the relative projections.</v>
      </c>
      <c r="C64" s="137"/>
      <c r="D64" s="137"/>
      <c r="E64" s="137"/>
      <c r="F64" s="137"/>
      <c r="G64" s="137"/>
      <c r="H64" s="137"/>
    </row>
    <row r="65" spans="2:8" ht="48" customHeight="1" x14ac:dyDescent="0.25">
      <c r="B65" s="119" t="str">
        <f>IF('Institutional Projections'!$B$157=TRUE,IFERROR(CONCATENATE("Based on the 2015-2019 data entered in step 3, the number of expected gold OA articles for 2020 deviates from the actual 2020 numbers entered in step 1 by ",ROUND(data2!L6*100,0),"%"),""),CONCATENATE("You can view the projections according to different cost scenarios, described at the top of this Tab,"," to contrast and compare their projected costs under the conditions secured with the DEAL agreements, with their costs under the previous subscription-based system and other scenarios."))</f>
        <v>You can view the projections according to different cost scenarios, described at the top of this Tab, to contrast and compare their projected costs under the conditions secured with the DEAL agreements, with their costs under the previous subscription-based system and other scenarios.</v>
      </c>
      <c r="C65" s="119"/>
      <c r="D65" s="119"/>
      <c r="E65" s="119"/>
      <c r="F65" s="119"/>
      <c r="G65" s="119"/>
      <c r="H65" s="119"/>
    </row>
    <row r="67" spans="2:8" ht="54.6" customHeight="1" x14ac:dyDescent="0.25">
      <c r="B67" s="161" t="str">
        <f>IF('Institutional Projections'!$B$157=TRUE,CONCATENATE("The reason why the expected number of articles might be significantly higher than actual 2020 numbers could be that,"," while under the DEAL agreements any given article can only be invoiced to one institution,"," bibliographic databases and tools like the Open Access Monitor can list multiple corresponding authors or multiple affiliations for authors."," Thus articles can be counted multiple times, consequently inflating the number of articles attributed to an institution."),"")</f>
        <v/>
      </c>
      <c r="C67" s="119"/>
      <c r="D67" s="119"/>
      <c r="E67" s="119"/>
      <c r="F67" s="119"/>
      <c r="G67" s="119"/>
      <c r="H67" s="119"/>
    </row>
    <row r="69" spans="2:8" ht="42" customHeight="1" x14ac:dyDescent="0.25">
      <c r="B69" s="161" t="str">
        <f>IF('Institutional Projections'!$B$157=TRUE,"The Tool therefore gives you the option to normalize the publication numbers entered in step 3, to bring them in line with the actual number of 2020 articles paid under the DEAL agreements. In order to do so, select yes below:","")</f>
        <v/>
      </c>
      <c r="C69" s="119"/>
      <c r="D69" s="119"/>
      <c r="E69" s="119"/>
      <c r="F69" s="119"/>
      <c r="G69" s="119"/>
      <c r="H69" s="119"/>
    </row>
    <row r="70" spans="2:8" ht="42" customHeight="1" x14ac:dyDescent="0.25">
      <c r="B70" s="161" t="str">
        <f>IF('Institutional Projections'!$B$157=TRUE,CONCATENATE("You may also wish to see the projections based on the numbers entered in step 3, but bear in mind that, depending on the source and quality of the data entered,"," the trends shown in the visualizations might be skewed because of the over-inflated article numbers or other factors."),"")</f>
        <v/>
      </c>
      <c r="C70" s="119"/>
      <c r="D70" s="119"/>
      <c r="E70" s="119"/>
      <c r="F70" s="119"/>
      <c r="G70" s="119"/>
      <c r="H70" s="119"/>
    </row>
    <row r="71" spans="2:8" ht="16.5" customHeight="1" x14ac:dyDescent="0.25">
      <c r="B71" s="94"/>
      <c r="C71" s="94"/>
      <c r="D71" s="94"/>
      <c r="E71" s="94"/>
      <c r="F71" s="94"/>
      <c r="G71" s="94"/>
      <c r="H71" s="94"/>
    </row>
    <row r="72" spans="2:8" ht="18.75" customHeight="1" x14ac:dyDescent="0.25">
      <c r="B72" s="84" t="str">
        <f>IF('Institutional Projections'!$B$157=TRUE,"Apply adjustments to the projections","")</f>
        <v/>
      </c>
      <c r="C72" s="85" t="s">
        <v>182</v>
      </c>
    </row>
    <row r="74" spans="2:8" ht="24" customHeight="1" x14ac:dyDescent="0.25">
      <c r="B74" s="123" t="str">
        <f>IF('Institutional Projections'!$B$157=TRUE,"Step 5 – Go to the Institutional projection tab to view the projections generated based on the setting above.","")</f>
        <v/>
      </c>
      <c r="C74" s="123"/>
      <c r="D74" s="123"/>
      <c r="E74" s="123"/>
      <c r="F74" s="123"/>
      <c r="G74" s="123"/>
      <c r="H74" s="123"/>
    </row>
    <row r="75" spans="2:8" ht="48" customHeight="1" x14ac:dyDescent="0.25">
      <c r="B75" s="119" t="str">
        <f>IF('Institutional Projections'!$B$157=TRUE,CONCATENATE("You can view the projections according to different cost scenarios, described at the top of this Tab,"," to contrast and compare their projected costs under the conditions secured with the DEAL agreements, with their costs under the previous subscription-based system and other scenarios."),"")</f>
        <v/>
      </c>
      <c r="C75" s="119"/>
      <c r="D75" s="119"/>
      <c r="E75" s="119"/>
      <c r="F75" s="119"/>
      <c r="G75" s="119"/>
      <c r="H75" s="119"/>
    </row>
  </sheetData>
  <sheetProtection algorithmName="SHA-512" hashValue="SzffB3X7rS6dc+uBfjXr6+Cv5zJjStGPAethOPHqNSsVNLiflDLpump6/ziCnvwwBStvVdScTgWnVEl0jOExEA==" saltValue="qDkBaXMes/uogYvFxvyMNA==" spinCount="100000" sheet="1" objects="1" scenarios="1" selectLockedCells="1"/>
  <mergeCells count="35">
    <mergeCell ref="B6:H6"/>
    <mergeCell ref="B19:H19"/>
    <mergeCell ref="B21:C21"/>
    <mergeCell ref="D22:H22"/>
    <mergeCell ref="D23:H23"/>
    <mergeCell ref="D21:H21"/>
    <mergeCell ref="C12:H12"/>
    <mergeCell ref="C13:H13"/>
    <mergeCell ref="C14:H14"/>
    <mergeCell ref="C15:H15"/>
    <mergeCell ref="B8:H8"/>
    <mergeCell ref="C10:H10"/>
    <mergeCell ref="B17:H17"/>
    <mergeCell ref="C11:H11"/>
    <mergeCell ref="B64:H64"/>
    <mergeCell ref="B65:H65"/>
    <mergeCell ref="B41:H41"/>
    <mergeCell ref="B42:H42"/>
    <mergeCell ref="B44:H44"/>
    <mergeCell ref="D32:H34"/>
    <mergeCell ref="B75:H75"/>
    <mergeCell ref="D24:H24"/>
    <mergeCell ref="D25:H25"/>
    <mergeCell ref="B27:H27"/>
    <mergeCell ref="B29:H29"/>
    <mergeCell ref="B53:H53"/>
    <mergeCell ref="B60:H60"/>
    <mergeCell ref="B62:H62"/>
    <mergeCell ref="B74:H74"/>
    <mergeCell ref="B67:H67"/>
    <mergeCell ref="B69:H69"/>
    <mergeCell ref="B70:H70"/>
    <mergeCell ref="B36:H36"/>
    <mergeCell ref="B46:H46"/>
    <mergeCell ref="D31:H31"/>
  </mergeCells>
  <conditionalFormatting sqref="H58:H59">
    <cfRule type="cellIs" dxfId="25" priority="62" operator="notEqual">
      <formula>"enter number of articles"</formula>
    </cfRule>
  </conditionalFormatting>
  <conditionalFormatting sqref="C35">
    <cfRule type="cellIs" dxfId="24" priority="52" operator="notEqual">
      <formula>"enter data"</formula>
    </cfRule>
  </conditionalFormatting>
  <conditionalFormatting sqref="C51:G52">
    <cfRule type="expression" dxfId="23" priority="50">
      <formula>AND(ISNUMBER($C$34),ISNUMBER($C$35),ISNUMBER($C$36))</formula>
    </cfRule>
  </conditionalFormatting>
  <conditionalFormatting sqref="H51:H52">
    <cfRule type="cellIs" dxfId="22" priority="45" operator="notEqual">
      <formula>"complete Step 1"</formula>
    </cfRule>
  </conditionalFormatting>
  <conditionalFormatting sqref="F41">
    <cfRule type="cellIs" dxfId="21" priority="31" operator="notEqual">
      <formula>"enter data"</formula>
    </cfRule>
  </conditionalFormatting>
  <conditionalFormatting sqref="E41">
    <cfRule type="cellIs" dxfId="20" priority="30" operator="notEqual">
      <formula>"enter data"</formula>
    </cfRule>
  </conditionalFormatting>
  <conditionalFormatting sqref="D41">
    <cfRule type="cellIs" dxfId="19" priority="29" operator="notEqual">
      <formula>"enter data"</formula>
    </cfRule>
  </conditionalFormatting>
  <conditionalFormatting sqref="C41">
    <cfRule type="cellIs" dxfId="18" priority="23" operator="notEqual">
      <formula>"enter data"</formula>
    </cfRule>
  </conditionalFormatting>
  <conditionalFormatting sqref="G41">
    <cfRule type="cellIs" dxfId="17" priority="22" operator="notEqual">
      <formula>"enter data"</formula>
    </cfRule>
  </conditionalFormatting>
  <conditionalFormatting sqref="C36">
    <cfRule type="cellIs" dxfId="16" priority="21" operator="notEqual">
      <formula>"enter data"</formula>
    </cfRule>
  </conditionalFormatting>
  <conditionalFormatting sqref="C53:G53">
    <cfRule type="expression" dxfId="15" priority="20">
      <formula>AND(ISNUMBER($C$36),ISNUMBER($C$37),ISNUMBER($C$38))</formula>
    </cfRule>
  </conditionalFormatting>
  <conditionalFormatting sqref="H53">
    <cfRule type="cellIs" dxfId="14" priority="19" operator="notEqual">
      <formula>"complete Step 1"</formula>
    </cfRule>
  </conditionalFormatting>
  <conditionalFormatting sqref="C60:G60">
    <cfRule type="cellIs" dxfId="13" priority="18" operator="notEqual">
      <formula>"enter data"</formula>
    </cfRule>
  </conditionalFormatting>
  <conditionalFormatting sqref="H60">
    <cfRule type="cellIs" dxfId="12" priority="17" operator="notEqual">
      <formula>"enter number of articles"</formula>
    </cfRule>
  </conditionalFormatting>
  <conditionalFormatting sqref="C62:G62">
    <cfRule type="cellIs" dxfId="11" priority="16" operator="notEqual">
      <formula>"enter data"</formula>
    </cfRule>
  </conditionalFormatting>
  <conditionalFormatting sqref="H62">
    <cfRule type="cellIs" dxfId="10" priority="15" operator="notEqual">
      <formula>"enter number of articles"</formula>
    </cfRule>
  </conditionalFormatting>
  <conditionalFormatting sqref="H50">
    <cfRule type="cellIs" dxfId="9" priority="14" operator="notEqual">
      <formula>"complete Step 1"</formula>
    </cfRule>
  </conditionalFormatting>
  <conditionalFormatting sqref="H49">
    <cfRule type="cellIs" dxfId="8" priority="13" operator="notEqual">
      <formula>"complete Step 1"</formula>
    </cfRule>
  </conditionalFormatting>
  <conditionalFormatting sqref="H57">
    <cfRule type="cellIs" dxfId="7" priority="12" operator="notEqual">
      <formula>"enter number of articles"</formula>
    </cfRule>
  </conditionalFormatting>
  <conditionalFormatting sqref="H56">
    <cfRule type="cellIs" dxfId="6" priority="11" operator="notEqual">
      <formula>"enter number of articles"</formula>
    </cfRule>
  </conditionalFormatting>
  <conditionalFormatting sqref="B72">
    <cfRule type="notContainsText" dxfId="5" priority="7" operator="notContains" text="Apply">
      <formula>ISERROR(SEARCH("Apply",B72))</formula>
    </cfRule>
  </conditionalFormatting>
  <conditionalFormatting sqref="B64">
    <cfRule type="beginsWith" dxfId="4" priority="5" operator="beginsWith" text="Step">
      <formula>LEFT(B64,LEN("Step"))="Step"</formula>
    </cfRule>
  </conditionalFormatting>
  <conditionalFormatting sqref="C56:G58">
    <cfRule type="cellIs" dxfId="3" priority="1" operator="notEqual">
      <formula>"enter data"</formula>
    </cfRule>
  </conditionalFormatting>
  <conditionalFormatting sqref="C32:C34">
    <cfRule type="cellIs" dxfId="2" priority="3" operator="notEqual">
      <formula>"enter data"</formula>
    </cfRule>
  </conditionalFormatting>
  <conditionalFormatting sqref="C39:G39">
    <cfRule type="cellIs" dxfId="1" priority="2" operator="notEqual">
      <formula>"enter data"</formula>
    </cfRule>
  </conditionalFormatting>
  <dataValidations count="4">
    <dataValidation type="decimal" allowBlank="1" showInputMessage="1" showErrorMessage="1" sqref="C27 C25">
      <formula1>0</formula1>
      <formula2>1</formula2>
    </dataValidation>
    <dataValidation type="whole" operator="greaterThan" allowBlank="1" showInputMessage="1" sqref="C41:G41 C35:C36">
      <formula1>-1</formula1>
    </dataValidation>
    <dataValidation type="decimal" allowBlank="1" showInputMessage="1" showErrorMessage="1" sqref="C22:C24">
      <formula1>-1</formula1>
      <formula2>1</formula2>
    </dataValidation>
    <dataValidation type="list" allowBlank="1" showInputMessage="1" showErrorMessage="1" sqref="C70">
      <formula1>#REF!</formula1>
    </dataValidation>
  </dataValidations>
  <pageMargins left="0.25" right="0.25" top="0.75" bottom="0.75" header="0.3" footer="0.3"/>
  <pageSetup paperSize="9" scale="54"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 id="{CA3FC434-236F-4860-A763-402EB0663CCB}">
            <xm:f>'Institutional Projections'!$B$157</xm:f>
            <x14:dxf>
              <font>
                <b/>
                <i val="0"/>
                <color auto="1"/>
              </font>
              <fill>
                <patternFill patternType="solid">
                  <bgColor rgb="FFFAFAFA"/>
                </patternFill>
              </fill>
              <border>
                <left style="thin">
                  <color auto="1"/>
                </left>
                <right style="thin">
                  <color auto="1"/>
                </right>
                <top style="thin">
                  <color auto="1"/>
                </top>
                <bottom style="thin">
                  <color auto="1"/>
                </bottom>
                <vertical/>
                <horizontal/>
              </border>
            </x14:dxf>
          </x14:cfRule>
          <xm:sqref>C72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data2!$H$1:$H$2</xm:f>
          </x14:formula1>
          <xm:sqref>C72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171C"/>
  </sheetPr>
  <dimension ref="A1:P164"/>
  <sheetViews>
    <sheetView showGridLines="0" showRowColHeaders="0" zoomScaleNormal="100" workbookViewId="0">
      <selection activeCell="B10" sqref="B10"/>
    </sheetView>
  </sheetViews>
  <sheetFormatPr baseColWidth="10" defaultColWidth="11.5703125" defaultRowHeight="15" x14ac:dyDescent="0.25"/>
  <cols>
    <col min="1" max="1" width="22.85546875" style="1" bestFit="1" customWidth="1"/>
    <col min="2" max="2" width="112.5703125" style="1" bestFit="1" customWidth="1"/>
    <col min="3" max="3" width="13.5703125" style="1" bestFit="1" customWidth="1"/>
    <col min="4" max="4" width="23.7109375" style="1" bestFit="1" customWidth="1"/>
    <col min="5" max="5" width="25.5703125" style="1" bestFit="1" customWidth="1"/>
    <col min="6" max="8" width="12.7109375" style="1" bestFit="1" customWidth="1"/>
    <col min="9" max="9" width="25.5703125" style="1" bestFit="1" customWidth="1"/>
    <col min="10" max="10" width="12.7109375" style="1" bestFit="1" customWidth="1"/>
    <col min="11" max="11" width="14.42578125" style="1" bestFit="1" customWidth="1"/>
    <col min="12" max="12" width="12.42578125" style="1" bestFit="1" customWidth="1"/>
    <col min="13" max="13" width="14.28515625" style="1" bestFit="1" customWidth="1"/>
    <col min="14" max="14" width="21.42578125" style="1" bestFit="1" customWidth="1"/>
    <col min="15" max="15" width="14.7109375" style="1" bestFit="1" customWidth="1"/>
    <col min="16" max="16" width="11.5703125" style="1" bestFit="1" customWidth="1"/>
    <col min="17" max="17" width="12.5703125" style="1" bestFit="1" customWidth="1"/>
    <col min="18" max="18" width="36.7109375" style="1" bestFit="1" customWidth="1"/>
    <col min="19" max="20" width="12.140625" style="1" bestFit="1" customWidth="1"/>
    <col min="21" max="22" width="12.5703125" style="1" bestFit="1" customWidth="1"/>
    <col min="23" max="29" width="12.140625" style="1" bestFit="1" customWidth="1"/>
    <col min="30" max="30" width="11.5703125" style="1" bestFit="1"/>
    <col min="31" max="16384" width="11.5703125" style="1"/>
  </cols>
  <sheetData>
    <row r="1" spans="1:2" ht="8.4499999999999993" customHeight="1" x14ac:dyDescent="0.25"/>
    <row r="2" spans="1:2" ht="21" x14ac:dyDescent="0.35">
      <c r="A2" s="2" t="s">
        <v>181</v>
      </c>
    </row>
    <row r="3" spans="1:2" ht="21" x14ac:dyDescent="0.35">
      <c r="A3" s="3" t="s">
        <v>0</v>
      </c>
    </row>
    <row r="4" spans="1:2" ht="18.75" x14ac:dyDescent="0.3">
      <c r="A4" s="4" t="s">
        <v>8</v>
      </c>
    </row>
    <row r="5" spans="1:2" x14ac:dyDescent="0.25">
      <c r="A5" s="5">
        <f>ReadMe!B4</f>
        <v>44404</v>
      </c>
    </row>
    <row r="6" spans="1:2" ht="9" customHeight="1" x14ac:dyDescent="0.25"/>
    <row r="7" spans="1:2" x14ac:dyDescent="0.25">
      <c r="A7" s="29" t="s">
        <v>96</v>
      </c>
      <c r="B7" s="113" t="s">
        <v>97</v>
      </c>
    </row>
    <row r="8" spans="1:2" x14ac:dyDescent="0.25">
      <c r="A8" s="29" t="s">
        <v>98</v>
      </c>
      <c r="B8" s="91" t="s">
        <v>99</v>
      </c>
    </row>
    <row r="9" spans="1:2" x14ac:dyDescent="0.25">
      <c r="A9" s="30"/>
      <c r="B9" s="31"/>
    </row>
    <row r="10" spans="1:2" x14ac:dyDescent="0.25">
      <c r="A10" s="29" t="s">
        <v>100</v>
      </c>
      <c r="B10" s="91" t="s">
        <v>68</v>
      </c>
    </row>
    <row r="11" spans="1:2" ht="14.45" customHeight="1" x14ac:dyDescent="0.25"/>
    <row r="12" spans="1:2" ht="14.45" customHeight="1" x14ac:dyDescent="0.25"/>
    <row r="13" spans="1:2" ht="14.45" customHeight="1" x14ac:dyDescent="0.25"/>
    <row r="14" spans="1:2" ht="14.45" customHeight="1" x14ac:dyDescent="0.25"/>
    <row r="15" spans="1:2" ht="14.45" customHeight="1" x14ac:dyDescent="0.25"/>
    <row r="16" spans="1:2" ht="14.45" customHeight="1" x14ac:dyDescent="0.25"/>
    <row r="17" ht="14.45" customHeight="1" x14ac:dyDescent="0.25"/>
    <row r="18" ht="14.45" customHeight="1" x14ac:dyDescent="0.25"/>
    <row r="19" ht="14.45" customHeight="1" x14ac:dyDescent="0.25"/>
    <row r="20" ht="14.45" customHeight="1" x14ac:dyDescent="0.25"/>
    <row r="21" ht="14.45" customHeight="1" x14ac:dyDescent="0.25"/>
    <row r="22" ht="14.45" customHeight="1" x14ac:dyDescent="0.25"/>
    <row r="23" ht="14.45" customHeight="1" x14ac:dyDescent="0.25"/>
    <row r="24" ht="14.45" customHeight="1" x14ac:dyDescent="0.25"/>
    <row r="25" ht="14.45" customHeight="1" x14ac:dyDescent="0.25"/>
    <row r="26" ht="14.45" customHeight="1" x14ac:dyDescent="0.25"/>
    <row r="27" ht="14.45" customHeight="1" x14ac:dyDescent="0.25"/>
    <row r="28" ht="14.45" customHeight="1" x14ac:dyDescent="0.25"/>
    <row r="29" ht="14.45" customHeight="1" x14ac:dyDescent="0.25"/>
    <row r="30" ht="14.45" customHeight="1" x14ac:dyDescent="0.25"/>
    <row r="31" ht="14.45" customHeight="1" x14ac:dyDescent="0.25"/>
    <row r="32" ht="14.45" customHeight="1" x14ac:dyDescent="0.25"/>
    <row r="33" spans="1:11" ht="14.45" customHeight="1" x14ac:dyDescent="0.25"/>
    <row r="34" spans="1:11" ht="66" customHeight="1" x14ac:dyDescent="0.25">
      <c r="A34" s="32" t="s">
        <v>101</v>
      </c>
      <c r="B34" s="109" t="s">
        <v>179</v>
      </c>
    </row>
    <row r="35" spans="1:11" ht="78" customHeight="1" x14ac:dyDescent="0.25">
      <c r="A35" s="33" t="s">
        <v>102</v>
      </c>
      <c r="B35" s="109" t="s">
        <v>242</v>
      </c>
    </row>
    <row r="36" spans="1:11" ht="66" customHeight="1" x14ac:dyDescent="0.25">
      <c r="A36" s="34" t="s">
        <v>33</v>
      </c>
      <c r="B36" s="109" t="s">
        <v>243</v>
      </c>
    </row>
    <row r="37" spans="1:11" ht="78" customHeight="1" x14ac:dyDescent="0.25">
      <c r="A37" s="35" t="s">
        <v>103</v>
      </c>
      <c r="B37" s="109" t="s">
        <v>244</v>
      </c>
    </row>
    <row r="38" spans="1:11" ht="30" customHeight="1" x14ac:dyDescent="0.25">
      <c r="A38" s="110"/>
      <c r="B38" s="109" t="s">
        <v>180</v>
      </c>
    </row>
    <row r="39" spans="1:11" ht="13.9" customHeight="1" x14ac:dyDescent="0.25"/>
    <row r="40" spans="1:11" ht="13.9" customHeight="1" x14ac:dyDescent="0.25"/>
    <row r="42" spans="1:11" x14ac:dyDescent="0.25">
      <c r="G42" s="36"/>
      <c r="H42" s="36"/>
    </row>
    <row r="43" spans="1:11" x14ac:dyDescent="0.25">
      <c r="H43" s="36"/>
    </row>
    <row r="46" spans="1:11" x14ac:dyDescent="0.25">
      <c r="G46" s="7"/>
      <c r="H46" s="7"/>
    </row>
    <row r="48" spans="1:11" x14ac:dyDescent="0.25">
      <c r="J48" s="37"/>
      <c r="K48" s="37"/>
    </row>
    <row r="51" spans="1:8" x14ac:dyDescent="0.25">
      <c r="F51" s="7"/>
      <c r="G51" s="7"/>
      <c r="H51" s="7"/>
    </row>
    <row r="52" spans="1:8" x14ac:dyDescent="0.25">
      <c r="G52" s="38"/>
      <c r="H52" s="38"/>
    </row>
    <row r="53" spans="1:8" x14ac:dyDescent="0.25">
      <c r="H53" s="36"/>
    </row>
    <row r="54" spans="1:8" x14ac:dyDescent="0.25">
      <c r="H54" s="36"/>
    </row>
    <row r="61" spans="1:8" ht="15" customHeight="1" x14ac:dyDescent="0.25"/>
    <row r="62" spans="1:8" ht="43.15" customHeight="1" x14ac:dyDescent="0.25">
      <c r="A62" s="173" t="s">
        <v>245</v>
      </c>
      <c r="B62" s="173"/>
    </row>
    <row r="63" spans="1:8" ht="10.9" customHeight="1" x14ac:dyDescent="0.25"/>
    <row r="65" spans="1:11" hidden="1" x14ac:dyDescent="0.25"/>
    <row r="66" spans="1:11" hidden="1" x14ac:dyDescent="0.25">
      <c r="B66" s="1" t="str">
        <f>CONCATENATE("Cost development"," - ",$B$10)</f>
        <v>Cost development - Status quo (subscription-based system)</v>
      </c>
    </row>
    <row r="67" spans="1:11" hidden="1" x14ac:dyDescent="0.25">
      <c r="B67" s="1" t="str">
        <f>CONCATENATE("Cost avoidance / funding gap"," - ",$B$10)</f>
        <v>Cost avoidance / funding gap - Status quo (subscription-based system)</v>
      </c>
      <c r="D67" s="7"/>
    </row>
    <row r="68" spans="1:11" hidden="1" x14ac:dyDescent="0.25">
      <c r="C68" s="39"/>
      <c r="D68" s="39"/>
    </row>
    <row r="69" spans="1:11" hidden="1" x14ac:dyDescent="0.25">
      <c r="A69" s="40" t="s">
        <v>105</v>
      </c>
      <c r="B69" s="41">
        <v>2020</v>
      </c>
    </row>
    <row r="70" spans="1:11" hidden="1" x14ac:dyDescent="0.25">
      <c r="A70" s="42" t="s">
        <v>106</v>
      </c>
      <c r="B70" s="43">
        <f>SUM(B71:B72)</f>
        <v>14664</v>
      </c>
    </row>
    <row r="71" spans="1:11" hidden="1" x14ac:dyDescent="0.25">
      <c r="A71" s="42" t="s">
        <v>17</v>
      </c>
      <c r="B71" s="44">
        <f>VLOOKUP(B8,data2!A:E,5,FALSE)</f>
        <v>4428.0000000000009</v>
      </c>
    </row>
    <row r="72" spans="1:11" hidden="1" x14ac:dyDescent="0.25">
      <c r="A72" s="42" t="s">
        <v>107</v>
      </c>
      <c r="B72" s="44">
        <f>VLOOKUP(B8,data2!A:E,3,FALSE)+VLOOKUP(B8,data2!A:E,4,FALSE)</f>
        <v>10236</v>
      </c>
    </row>
    <row r="73" spans="1:11" hidden="1" x14ac:dyDescent="0.25"/>
    <row r="74" spans="1:11" ht="15.75" hidden="1" x14ac:dyDescent="0.25">
      <c r="A74" s="174" t="s">
        <v>108</v>
      </c>
      <c r="B74" s="175"/>
      <c r="C74" s="175"/>
      <c r="D74" s="175"/>
      <c r="E74" s="175"/>
      <c r="F74" s="175"/>
      <c r="G74" s="176"/>
      <c r="H74" s="36"/>
      <c r="I74" s="45" t="s">
        <v>109</v>
      </c>
      <c r="J74" s="46" t="s">
        <v>110</v>
      </c>
      <c r="K74" s="47" t="s">
        <v>111</v>
      </c>
    </row>
    <row r="75" spans="1:11" hidden="1" x14ac:dyDescent="0.25">
      <c r="A75" s="48" t="s">
        <v>112</v>
      </c>
      <c r="B75" s="48">
        <v>2015</v>
      </c>
      <c r="C75" s="48">
        <v>2016</v>
      </c>
      <c r="D75" s="48">
        <v>2017</v>
      </c>
      <c r="E75" s="48">
        <v>2018</v>
      </c>
      <c r="F75" s="48">
        <v>2019</v>
      </c>
      <c r="G75" s="49" t="s">
        <v>113</v>
      </c>
      <c r="H75" s="36"/>
      <c r="I75" s="50">
        <v>2019</v>
      </c>
      <c r="J75" s="51">
        <f>F94</f>
        <v>0</v>
      </c>
      <c r="K75" s="52">
        <f>J75</f>
        <v>0</v>
      </c>
    </row>
    <row r="76" spans="1:11" hidden="1" x14ac:dyDescent="0.25">
      <c r="A76" s="42" t="s">
        <v>19</v>
      </c>
      <c r="B76" s="44">
        <f>B101</f>
        <v>12692</v>
      </c>
      <c r="C76" s="44">
        <f>C101</f>
        <v>13824</v>
      </c>
      <c r="D76" s="44">
        <f>D101</f>
        <v>14092</v>
      </c>
      <c r="E76" s="44">
        <f>E101</f>
        <v>14032</v>
      </c>
      <c r="F76" s="44">
        <f>F101</f>
        <v>14120</v>
      </c>
      <c r="G76" s="53">
        <f>Settings!C22</f>
        <v>7.0870014399937453E-3</v>
      </c>
      <c r="H76" s="36"/>
      <c r="I76" s="54">
        <v>2020</v>
      </c>
      <c r="J76" s="55">
        <f>G94</f>
        <v>4621766.4946304262</v>
      </c>
      <c r="K76" s="56">
        <f t="shared" ref="K76:K81" si="0">K75+J76</f>
        <v>4621766.4946304262</v>
      </c>
    </row>
    <row r="77" spans="1:11" hidden="1" x14ac:dyDescent="0.25">
      <c r="A77" s="42" t="s">
        <v>114</v>
      </c>
      <c r="B77" s="43">
        <f>ROUND(C103*(1-$G$77),0)</f>
        <v>2879</v>
      </c>
      <c r="C77" s="43">
        <f>ROUND(D103*(1-$G$77),0)</f>
        <v>3311</v>
      </c>
      <c r="D77" s="43">
        <f>ROUND(E103*(1-$G$77),0)</f>
        <v>3310</v>
      </c>
      <c r="E77" s="43">
        <f>ROUND(F103*(1-$G$77),0)</f>
        <v>3499</v>
      </c>
      <c r="F77" s="43">
        <f>ROUND(G103*(1-$G$77),0)</f>
        <v>4130</v>
      </c>
      <c r="G77" s="53">
        <f>Methodology!H18</f>
        <v>6.7211215840421001E-2</v>
      </c>
      <c r="H77" s="36"/>
      <c r="I77" s="54">
        <v>2021</v>
      </c>
      <c r="J77" s="55">
        <f>H94</f>
        <v>7668333.7863444015</v>
      </c>
      <c r="K77" s="56">
        <f t="shared" si="0"/>
        <v>12290100.280974828</v>
      </c>
    </row>
    <row r="78" spans="1:11" hidden="1" x14ac:dyDescent="0.25">
      <c r="A78" s="42" t="s">
        <v>107</v>
      </c>
      <c r="B78" s="43">
        <f>ROUND(C104*(1-$G$78),0)</f>
        <v>409</v>
      </c>
      <c r="C78" s="43">
        <f>ROUND(D104*(1-$G$78),0)</f>
        <v>493</v>
      </c>
      <c r="D78" s="43">
        <f>ROUND(E104*(1-$G$78),0)</f>
        <v>594</v>
      </c>
      <c r="E78" s="43">
        <f>ROUND((E101-E103)*E106,0)</f>
        <v>715</v>
      </c>
      <c r="F78" s="43">
        <f>ROUND((F101-F103)*F106,0)</f>
        <v>914</v>
      </c>
      <c r="G78" s="53">
        <f>Methodology!H19</f>
        <v>0.16977776610258211</v>
      </c>
      <c r="H78" s="36"/>
      <c r="I78" s="54">
        <v>2022</v>
      </c>
      <c r="J78" s="55">
        <f>I94</f>
        <v>9972305.530612886</v>
      </c>
      <c r="K78" s="56">
        <f t="shared" si="0"/>
        <v>22262405.811587714</v>
      </c>
    </row>
    <row r="79" spans="1:11" hidden="1" x14ac:dyDescent="0.25">
      <c r="A79" s="42" t="s">
        <v>115</v>
      </c>
      <c r="B79" s="57">
        <f>(B76-B77-B78)/B76</f>
        <v>0.74093917428301292</v>
      </c>
      <c r="C79" s="57">
        <f>(C76-C77-C78)/C76</f>
        <v>0.72482638888888884</v>
      </c>
      <c r="D79" s="57">
        <f>(D76-D77-D78)/D76</f>
        <v>0.72296338347998867</v>
      </c>
      <c r="E79" s="57">
        <f>(E76-E77-E78)/E76</f>
        <v>0.69968643101482331</v>
      </c>
      <c r="F79" s="57">
        <f>(F76-F77-F78)/F76</f>
        <v>0.64277620396600565</v>
      </c>
      <c r="G79" s="53">
        <f>_xlfn.RRI(3,B79,E79)</f>
        <v>-1.8914256428111398E-2</v>
      </c>
      <c r="H79" s="36"/>
      <c r="I79" s="54">
        <v>2023</v>
      </c>
      <c r="J79" s="55">
        <f>J94</f>
        <v>12498539.227468297</v>
      </c>
      <c r="K79" s="56">
        <f t="shared" si="0"/>
        <v>34760945.039056011</v>
      </c>
    </row>
    <row r="80" spans="1:11" hidden="1" x14ac:dyDescent="0.25">
      <c r="G80" s="7"/>
      <c r="H80" s="36"/>
      <c r="I80" s="54">
        <v>2024</v>
      </c>
      <c r="J80" s="55">
        <f>K94</f>
        <v>15272966.394433632</v>
      </c>
      <c r="K80" s="56">
        <f t="shared" si="0"/>
        <v>50033911.433489643</v>
      </c>
    </row>
    <row r="81" spans="1:12" hidden="1" x14ac:dyDescent="0.25">
      <c r="A81" s="48" t="s">
        <v>116</v>
      </c>
      <c r="B81" s="48">
        <v>2015</v>
      </c>
      <c r="C81" s="48">
        <v>2016</v>
      </c>
      <c r="D81" s="48">
        <v>2017</v>
      </c>
      <c r="E81" s="48">
        <v>2018</v>
      </c>
      <c r="F81" s="48">
        <v>2019</v>
      </c>
      <c r="G81" s="49" t="s">
        <v>113</v>
      </c>
      <c r="H81" s="36"/>
      <c r="I81" s="58">
        <v>2025</v>
      </c>
      <c r="J81" s="59">
        <f>L94</f>
        <v>18324191.824199647</v>
      </c>
      <c r="K81" s="60">
        <f t="shared" si="0"/>
        <v>68358103.257689297</v>
      </c>
    </row>
    <row r="82" spans="1:12" hidden="1" x14ac:dyDescent="0.25">
      <c r="A82" s="42" t="s">
        <v>101</v>
      </c>
      <c r="B82" s="61">
        <f>C82/(1+G82)</f>
        <v>24262671.439343963</v>
      </c>
      <c r="C82" s="61">
        <f>D82/(1+G82)</f>
        <v>24990551.582524281</v>
      </c>
      <c r="D82" s="61">
        <f>VLOOKUP(B8,data2!A:E,2,FALSE)</f>
        <v>25740268.13000001</v>
      </c>
      <c r="E82" s="61">
        <f>D82*(1+G82)</f>
        <v>26512476.173900012</v>
      </c>
      <c r="F82" s="61">
        <f>E82*(1+G82)</f>
        <v>27307850.459117014</v>
      </c>
      <c r="G82" s="53">
        <f>Settings!C23</f>
        <v>0.03</v>
      </c>
      <c r="H82" s="36"/>
    </row>
    <row r="83" spans="1:12" hidden="1" x14ac:dyDescent="0.25">
      <c r="A83" s="42" t="s">
        <v>117</v>
      </c>
      <c r="B83" s="61">
        <f>SUM(B103*B118,B104*B119)</f>
        <v>5863662.3159999996</v>
      </c>
      <c r="C83" s="61">
        <f>SUM(C103*C118,C104*C119)</f>
        <v>6804515.1068301229</v>
      </c>
      <c r="D83" s="61">
        <f>SUM(D103*D118,D104*D119)</f>
        <v>7898284.409461664</v>
      </c>
      <c r="E83" s="61">
        <f>SUM(E103*E118,E104*E119)</f>
        <v>8686586</v>
      </c>
      <c r="F83" s="61">
        <f>SUM(F103*F118,F104*F119)</f>
        <v>9837805</v>
      </c>
      <c r="G83" s="53">
        <f>_xlfn.RRI(3,B83,E83)</f>
        <v>0.139969916756715</v>
      </c>
      <c r="H83" s="36"/>
    </row>
    <row r="84" spans="1:12" hidden="1" x14ac:dyDescent="0.25">
      <c r="A84" s="42" t="s">
        <v>118</v>
      </c>
      <c r="B84" s="62">
        <f>B82+B83</f>
        <v>30126333.755343962</v>
      </c>
      <c r="C84" s="62">
        <f>C82+C83</f>
        <v>31795066.689354405</v>
      </c>
      <c r="D84" s="62">
        <f>D82+D83</f>
        <v>33638552.539461672</v>
      </c>
      <c r="E84" s="62">
        <f>E82+E83</f>
        <v>35199062.173900008</v>
      </c>
      <c r="F84" s="62">
        <f>F82+F83</f>
        <v>37145655.45911701</v>
      </c>
      <c r="G84" s="53">
        <f>_xlfn.RRI(1,D84,E84)</f>
        <v>4.6390510786921801E-2</v>
      </c>
      <c r="H84" s="36"/>
    </row>
    <row r="85" spans="1:12" hidden="1" x14ac:dyDescent="0.25">
      <c r="C85" s="39"/>
      <c r="D85" s="39"/>
      <c r="E85" s="39"/>
      <c r="H85" s="36"/>
    </row>
    <row r="86" spans="1:12" hidden="1" x14ac:dyDescent="0.25">
      <c r="A86" s="7" t="s">
        <v>116</v>
      </c>
      <c r="B86" s="7">
        <v>2015</v>
      </c>
      <c r="C86" s="7">
        <v>2016</v>
      </c>
      <c r="D86" s="7">
        <v>2017</v>
      </c>
      <c r="E86" s="7">
        <v>2018</v>
      </c>
      <c r="F86" s="37">
        <v>2019</v>
      </c>
      <c r="G86" s="37">
        <v>2020</v>
      </c>
      <c r="H86" s="37">
        <v>2021</v>
      </c>
      <c r="I86" s="37">
        <v>2022</v>
      </c>
      <c r="J86" s="37">
        <v>2023</v>
      </c>
      <c r="K86" s="37">
        <v>2024</v>
      </c>
      <c r="L86" s="37">
        <v>2025</v>
      </c>
    </row>
    <row r="87" spans="1:12" hidden="1" x14ac:dyDescent="0.25">
      <c r="A87" s="7" t="s">
        <v>101</v>
      </c>
      <c r="B87" s="39">
        <f>B82</f>
        <v>24262671.439343963</v>
      </c>
      <c r="C87" s="39">
        <f>C82</f>
        <v>24990551.582524281</v>
      </c>
      <c r="D87" s="39">
        <f>D82</f>
        <v>25740268.13000001</v>
      </c>
      <c r="E87" s="39">
        <f>E82</f>
        <v>26512476.173900012</v>
      </c>
      <c r="F87" s="39">
        <f>F82</f>
        <v>27307850.459117014</v>
      </c>
      <c r="G87" s="39"/>
      <c r="H87" s="39"/>
      <c r="I87" s="39"/>
      <c r="J87" s="39"/>
      <c r="K87" s="39"/>
      <c r="L87" s="39"/>
    </row>
    <row r="88" spans="1:12" hidden="1" x14ac:dyDescent="0.25">
      <c r="A88" s="7" t="s">
        <v>101</v>
      </c>
      <c r="D88" s="39"/>
      <c r="E88" s="39"/>
      <c r="F88" s="39">
        <f>F87</f>
        <v>27307850.459117014</v>
      </c>
      <c r="G88" s="39">
        <f>F88*(1+$G$82)*(1+VLOOKUP($B$10,$A$122:$E$126,2,FALSE))</f>
        <v>28127085.972890526</v>
      </c>
      <c r="H88" s="39">
        <f>G88*(1+$G$82)</f>
        <v>28970898.552077241</v>
      </c>
      <c r="I88" s="39">
        <f>H88*(1+$G$82)</f>
        <v>29840025.508639559</v>
      </c>
      <c r="J88" s="39">
        <f>I88*(1+$G$82)</f>
        <v>30735226.273898747</v>
      </c>
      <c r="K88" s="39">
        <f>J88*(1+$G$82)</f>
        <v>31657283.06211571</v>
      </c>
      <c r="L88" s="39">
        <f>K88*(1+$G$82)</f>
        <v>32607001.553979181</v>
      </c>
    </row>
    <row r="89" spans="1:12" hidden="1" x14ac:dyDescent="0.25">
      <c r="A89" s="7" t="s">
        <v>102</v>
      </c>
      <c r="B89" s="39">
        <f>B83</f>
        <v>5863662.3159999996</v>
      </c>
      <c r="C89" s="39">
        <f>C83</f>
        <v>6804515.1068301229</v>
      </c>
      <c r="D89" s="39">
        <f>D83</f>
        <v>7898284.409461664</v>
      </c>
      <c r="E89" s="39">
        <f>E83</f>
        <v>8686586</v>
      </c>
      <c r="F89" s="39">
        <f>F83</f>
        <v>9837805</v>
      </c>
      <c r="G89" s="39"/>
      <c r="H89" s="39"/>
      <c r="I89" s="39"/>
      <c r="J89" s="39"/>
      <c r="K89" s="39"/>
      <c r="L89" s="39"/>
    </row>
    <row r="90" spans="1:12" hidden="1" x14ac:dyDescent="0.25">
      <c r="A90" s="7" t="s">
        <v>102</v>
      </c>
      <c r="B90" s="39"/>
      <c r="C90" s="39"/>
      <c r="D90" s="39"/>
      <c r="E90" s="39"/>
      <c r="F90" s="39">
        <f>SUM(F103*F118,F104*F119)</f>
        <v>9837805</v>
      </c>
      <c r="G90" s="39">
        <f>SUM(G103*G118,G104*G119)</f>
        <v>11690285.151350869</v>
      </c>
      <c r="H90" s="39">
        <f>SUM(H103*H118,H104*H119)</f>
        <v>12996807.081786176</v>
      </c>
      <c r="I90" s="39">
        <f t="shared" ref="I90:L90" si="1">SUM(I103*I118,I104*I119)</f>
        <v>14613408.450319564</v>
      </c>
      <c r="J90" s="39">
        <f t="shared" si="1"/>
        <v>16444359.727908596</v>
      </c>
      <c r="K90" s="39">
        <f t="shared" si="1"/>
        <v>18519293.77810232</v>
      </c>
      <c r="L90" s="39">
        <f t="shared" si="1"/>
        <v>20867313.876926303</v>
      </c>
    </row>
    <row r="91" spans="1:12" hidden="1" x14ac:dyDescent="0.25">
      <c r="A91" s="7" t="s">
        <v>119</v>
      </c>
      <c r="B91" s="39">
        <f>B84</f>
        <v>30126333.755343962</v>
      </c>
      <c r="C91" s="39">
        <f>C84</f>
        <v>31795066.689354405</v>
      </c>
      <c r="D91" s="39">
        <f>D84</f>
        <v>33638552.539461672</v>
      </c>
      <c r="E91" s="39">
        <f>E84</f>
        <v>35199062.173900008</v>
      </c>
      <c r="F91" s="39">
        <f>F84</f>
        <v>37145655.45911701</v>
      </c>
      <c r="G91" s="39"/>
      <c r="H91" s="39"/>
      <c r="I91" s="39"/>
      <c r="J91" s="39"/>
      <c r="K91" s="39"/>
      <c r="L91" s="39"/>
    </row>
    <row r="92" spans="1:12" hidden="1" x14ac:dyDescent="0.25">
      <c r="A92" s="7" t="s">
        <v>119</v>
      </c>
      <c r="D92" s="39"/>
      <c r="E92" s="39">
        <f>E84</f>
        <v>35199062.173900008</v>
      </c>
      <c r="F92" s="39">
        <f>SUM(F88,F90)</f>
        <v>37145655.45911701</v>
      </c>
      <c r="G92" s="39">
        <f t="shared" ref="G92:L92" si="2">SUM(G88,G90)</f>
        <v>39817371.124241397</v>
      </c>
      <c r="H92" s="39">
        <f t="shared" si="2"/>
        <v>41967705.633863419</v>
      </c>
      <c r="I92" s="39">
        <f t="shared" si="2"/>
        <v>44453433.958959125</v>
      </c>
      <c r="J92" s="39">
        <f t="shared" si="2"/>
        <v>47179586.001807347</v>
      </c>
      <c r="K92" s="39">
        <f t="shared" si="2"/>
        <v>50176576.84021803</v>
      </c>
      <c r="L92" s="39">
        <f t="shared" si="2"/>
        <v>53474315.430905484</v>
      </c>
    </row>
    <row r="93" spans="1:12" hidden="1" x14ac:dyDescent="0.25">
      <c r="A93" s="7" t="s">
        <v>103</v>
      </c>
      <c r="C93" s="39"/>
      <c r="E93" s="39"/>
      <c r="F93" s="39"/>
      <c r="G93" s="39">
        <f>((G101-G103)*$G$114*2900)+((G101-G103)*(1-$G$114)*917)+(G103*G118*0.8)</f>
        <v>35195604.629610971</v>
      </c>
      <c r="H93" s="39">
        <f>((H101-(ROUND(H101*H105,0)))*$G$114*2900)+((H101-ROUND(H101*H105,0))*(1-$G$114)*917)+(ROUND(H101*H105,0)*H118*0.8)</f>
        <v>34299371.847519018</v>
      </c>
      <c r="I93" s="39">
        <f t="shared" ref="I93:L93" si="3">((I101-(ROUND(I101*I105,0)))*$G$114*2900)+((I101-ROUND(I101*I105,0))*(1-$G$114)*917)+(ROUND(I101*I105,0)*I118*0.8)</f>
        <v>34481128.428346239</v>
      </c>
      <c r="J93" s="39">
        <f t="shared" si="3"/>
        <v>34681046.77433905</v>
      </c>
      <c r="K93" s="39">
        <f t="shared" si="3"/>
        <v>34903610.445784397</v>
      </c>
      <c r="L93" s="39">
        <f t="shared" si="3"/>
        <v>35150123.606705837</v>
      </c>
    </row>
    <row r="94" spans="1:12" hidden="1" x14ac:dyDescent="0.25">
      <c r="A94" s="7" t="s">
        <v>120</v>
      </c>
      <c r="E94" s="39"/>
      <c r="F94" s="39"/>
      <c r="G94" s="39">
        <f>G92-G93</f>
        <v>4621766.4946304262</v>
      </c>
      <c r="H94" s="39">
        <f t="shared" ref="H94:L94" si="4">H92-H93</f>
        <v>7668333.7863444015</v>
      </c>
      <c r="I94" s="39">
        <f t="shared" si="4"/>
        <v>9972305.530612886</v>
      </c>
      <c r="J94" s="39">
        <f t="shared" si="4"/>
        <v>12498539.227468297</v>
      </c>
      <c r="K94" s="39">
        <f t="shared" si="4"/>
        <v>15272966.394433632</v>
      </c>
      <c r="L94" s="39">
        <f t="shared" si="4"/>
        <v>18324191.824199647</v>
      </c>
    </row>
    <row r="95" spans="1:12" hidden="1" x14ac:dyDescent="0.25"/>
    <row r="96" spans="1:12" hidden="1" x14ac:dyDescent="0.25">
      <c r="B96" s="7">
        <v>2015</v>
      </c>
      <c r="C96" s="7">
        <v>2016</v>
      </c>
      <c r="D96" s="7">
        <v>2017</v>
      </c>
      <c r="E96" s="7">
        <v>2019</v>
      </c>
      <c r="F96" s="37">
        <v>2020</v>
      </c>
      <c r="G96" s="37">
        <v>2020</v>
      </c>
      <c r="H96" s="37">
        <v>2021</v>
      </c>
      <c r="I96" s="37">
        <v>2022</v>
      </c>
      <c r="J96" s="37">
        <v>2023</v>
      </c>
      <c r="K96" s="37">
        <v>2024</v>
      </c>
      <c r="L96" s="37">
        <v>2025</v>
      </c>
    </row>
    <row r="97" spans="1:14" hidden="1" x14ac:dyDescent="0.25">
      <c r="A97" s="7" t="s">
        <v>121</v>
      </c>
      <c r="B97" s="1">
        <v>0</v>
      </c>
      <c r="C97" s="1">
        <v>0</v>
      </c>
      <c r="D97" s="1">
        <v>0</v>
      </c>
      <c r="E97" s="1">
        <v>0</v>
      </c>
      <c r="F97" s="39">
        <f>F93</f>
        <v>0</v>
      </c>
      <c r="G97" s="39">
        <f>G93</f>
        <v>35195604.629610971</v>
      </c>
      <c r="H97" s="39">
        <f t="shared" ref="H97:L97" si="5">H93</f>
        <v>34299371.847519018</v>
      </c>
      <c r="I97" s="39">
        <f t="shared" si="5"/>
        <v>34481128.428346239</v>
      </c>
      <c r="J97" s="39">
        <f t="shared" si="5"/>
        <v>34681046.77433905</v>
      </c>
      <c r="K97" s="39">
        <f t="shared" si="5"/>
        <v>34903610.445784397</v>
      </c>
      <c r="L97" s="39">
        <f t="shared" si="5"/>
        <v>35150123.606705837</v>
      </c>
    </row>
    <row r="98" spans="1:14" hidden="1" x14ac:dyDescent="0.25">
      <c r="A98" s="7" t="s">
        <v>122</v>
      </c>
      <c r="B98" s="1">
        <v>0</v>
      </c>
      <c r="C98" s="1">
        <v>0</v>
      </c>
      <c r="D98" s="1">
        <v>0</v>
      </c>
      <c r="E98" s="1">
        <v>0</v>
      </c>
      <c r="F98" s="39">
        <f t="shared" ref="F98:L98" si="6">F94-F95</f>
        <v>0</v>
      </c>
      <c r="G98" s="39">
        <f t="shared" si="6"/>
        <v>4621766.4946304262</v>
      </c>
      <c r="H98" s="39">
        <f t="shared" si="6"/>
        <v>7668333.7863444015</v>
      </c>
      <c r="I98" s="39">
        <f t="shared" si="6"/>
        <v>9972305.530612886</v>
      </c>
      <c r="J98" s="39">
        <f t="shared" si="6"/>
        <v>12498539.227468297</v>
      </c>
      <c r="K98" s="39">
        <f t="shared" si="6"/>
        <v>15272966.394433632</v>
      </c>
      <c r="L98" s="39">
        <f t="shared" si="6"/>
        <v>18324191.824199647</v>
      </c>
    </row>
    <row r="99" spans="1:14" hidden="1" x14ac:dyDescent="0.25"/>
    <row r="100" spans="1:14" hidden="1" x14ac:dyDescent="0.25">
      <c r="A100" s="7" t="s">
        <v>112</v>
      </c>
      <c r="B100" s="7">
        <v>2015</v>
      </c>
      <c r="C100" s="7">
        <v>2016</v>
      </c>
      <c r="D100" s="7">
        <v>2017</v>
      </c>
      <c r="E100" s="7">
        <v>2018</v>
      </c>
      <c r="F100" s="37">
        <v>2019</v>
      </c>
      <c r="G100" s="37">
        <v>2020</v>
      </c>
      <c r="H100" s="37">
        <v>2021</v>
      </c>
      <c r="I100" s="37">
        <v>2022</v>
      </c>
      <c r="J100" s="37">
        <v>2023</v>
      </c>
      <c r="K100" s="37">
        <v>2024</v>
      </c>
      <c r="L100" s="37">
        <v>2025</v>
      </c>
    </row>
    <row r="101" spans="1:14" hidden="1" x14ac:dyDescent="0.25">
      <c r="A101" s="7" t="s">
        <v>106</v>
      </c>
      <c r="B101" s="1">
        <f>ROUND(C101/(1+Methodology!D102),0)</f>
        <v>12692</v>
      </c>
      <c r="C101" s="1">
        <f>ROUND(D101/(1+Methodology!E102),0)</f>
        <v>13824</v>
      </c>
      <c r="D101" s="1">
        <f>ROUND(E101/(1+Methodology!F102),0)</f>
        <v>14092</v>
      </c>
      <c r="E101" s="1">
        <f>ROUND(F101/(1+Methodology!G102),0)</f>
        <v>14032</v>
      </c>
      <c r="F101" s="1">
        <f>ROUND(G101/(1+Methodology!I102),0)</f>
        <v>14120</v>
      </c>
      <c r="G101" s="63">
        <f>SUM(G110:G112)</f>
        <v>14664</v>
      </c>
      <c r="H101" s="64">
        <f>ROUND(F101*(1+$G$76)^2,0)</f>
        <v>14321</v>
      </c>
      <c r="I101" s="64">
        <f>ROUND(H101*(1+$G$76),0)</f>
        <v>14422</v>
      </c>
      <c r="J101" s="64">
        <f>ROUND(I101*(1+$G$76),0)</f>
        <v>14524</v>
      </c>
      <c r="K101" s="64">
        <f>ROUND(J101*(1+$G$76),0)</f>
        <v>14627</v>
      </c>
      <c r="L101" s="64">
        <f>ROUND(K101*(1+$G$76),0)</f>
        <v>14731</v>
      </c>
    </row>
    <row r="102" spans="1:14" hidden="1" x14ac:dyDescent="0.25">
      <c r="A102" s="7" t="s">
        <v>123</v>
      </c>
      <c r="B102" s="1">
        <f t="shared" ref="B102:D102" si="7">B101-SUM(B103:B104)</f>
        <v>9688</v>
      </c>
      <c r="C102" s="1">
        <f t="shared" si="7"/>
        <v>10245</v>
      </c>
      <c r="D102" s="1">
        <f t="shared" si="7"/>
        <v>9948</v>
      </c>
      <c r="E102" s="1">
        <f>E101-SUM(E103:E104)</f>
        <v>9769</v>
      </c>
      <c r="F102" s="1">
        <f>F101-SUM(F103:F104)</f>
        <v>9455</v>
      </c>
      <c r="G102" s="65">
        <f>G101-SUM(G103:G104)</f>
        <v>9260</v>
      </c>
      <c r="H102" s="1">
        <f t="shared" ref="H102:L102" si="8">H101-SUM(H103:H104)</f>
        <v>8537</v>
      </c>
      <c r="I102" s="1">
        <f t="shared" si="8"/>
        <v>8139</v>
      </c>
      <c r="J102" s="1">
        <f t="shared" si="8"/>
        <v>7696</v>
      </c>
      <c r="K102" s="1">
        <f t="shared" si="8"/>
        <v>7204</v>
      </c>
      <c r="L102" s="1">
        <f t="shared" si="8"/>
        <v>6659</v>
      </c>
      <c r="N102" s="66"/>
    </row>
    <row r="103" spans="1:14" hidden="1" x14ac:dyDescent="0.25">
      <c r="A103" s="7" t="s">
        <v>89</v>
      </c>
      <c r="B103" s="1">
        <f>ROUND(C103/(1+Methodology!D100),0)</f>
        <v>2595</v>
      </c>
      <c r="C103" s="1">
        <f>ROUND(D103/(1+Methodology!E100),0)</f>
        <v>3086</v>
      </c>
      <c r="D103" s="1">
        <f>ROUND(E103/(1+Methodology!F100),0)</f>
        <v>3550</v>
      </c>
      <c r="E103" s="1">
        <f>ROUND(F103/(1+Methodology!G100),0)</f>
        <v>3548</v>
      </c>
      <c r="F103" s="1">
        <f>ROUND(G103/(1+Methodology!I100),0)</f>
        <v>3751</v>
      </c>
      <c r="G103" s="63">
        <f>G112</f>
        <v>4428.0000000000009</v>
      </c>
      <c r="H103" s="64">
        <f>MIN(IFERROR(IF(VLOOKUP($B$10,$A$121:$E$126,3,FALSE)="original",ROUND(H101*H105,0),IF(VLOOKUP($B$10,$A$121:$E$126,3,FALSE)="gradual",ROUND(G103*(1+INDEX($C$130:$H$130,COLUMN()-7)),0),ROUND(H101*H105,0))),0),H101)</f>
        <v>4582</v>
      </c>
      <c r="I103" s="64">
        <f t="shared" ref="I103:L103" si="9">MIN(IFERROR(IF(VLOOKUP($B$10,$A$121:$E$126,3,FALSE)="original",ROUND(I101*I105,0),IF(VLOOKUP($B$10,$A$121:$E$126,3,FALSE)="gradual",ROUND(H103*(1+INDEX($C$130:$H$130,COLUMN()-7)),0),ROUND(I101*I105,0))),0),I101)</f>
        <v>4890</v>
      </c>
      <c r="J103" s="64">
        <f t="shared" si="9"/>
        <v>5219</v>
      </c>
      <c r="K103" s="64">
        <f t="shared" si="9"/>
        <v>5569</v>
      </c>
      <c r="L103" s="64">
        <f t="shared" si="9"/>
        <v>5944</v>
      </c>
      <c r="N103" s="66"/>
    </row>
    <row r="104" spans="1:14" hidden="1" x14ac:dyDescent="0.25">
      <c r="A104" s="7" t="s">
        <v>90</v>
      </c>
      <c r="B104" s="64">
        <f>B78</f>
        <v>409</v>
      </c>
      <c r="C104" s="64">
        <f>C78</f>
        <v>493</v>
      </c>
      <c r="D104" s="64">
        <f>D78</f>
        <v>594</v>
      </c>
      <c r="E104" s="64">
        <f>E78</f>
        <v>715</v>
      </c>
      <c r="F104" s="64">
        <f>F78</f>
        <v>914</v>
      </c>
      <c r="G104" s="63">
        <f>MIN(IF(VLOOKUP($B$10,$A$121:$E$126,3,FALSE)=1,G101-G103,IF(VLOOKUP($B$10,$A$121:$E$126,3,FALSE)="gradual",ROUND(F104*(1+INDEX($B$130:$G$130,COLUMN()-6)),0),ROUND(G110*G106,0))),G101-G103)</f>
        <v>976</v>
      </c>
      <c r="H104" s="64">
        <f>MIN(IF(VLOOKUP($B$10,$A$121:$E$126,3,FALSE)="original",ROUND((H101-H103)*H106,0),IF(VLOOKUP($B$10,$A$121:$E$126,3,FALSE)="gradual",ROUND(G104*(1+INDEX($B$130:$G$130,COLUMN()-6)),0),ROUND((H101-(H101*H105)),0))),H101-H103)</f>
        <v>1202</v>
      </c>
      <c r="I104" s="64">
        <f t="shared" ref="I104:L104" si="10">MIN(IF(VLOOKUP($B$10,$A$121:$E$126,3,FALSE)="original",ROUND((I101-I103)*I106,0),IF(VLOOKUP($B$10,$A$121:$E$126,3,FALSE)="gradual",ROUND(H104*(1+INDEX($B$130:$G$130,COLUMN()-6)),0),ROUND((I101-(I101*I105)),0))),I101-I103)</f>
        <v>1393</v>
      </c>
      <c r="J104" s="64">
        <f t="shared" si="10"/>
        <v>1609</v>
      </c>
      <c r="K104" s="64">
        <f t="shared" si="10"/>
        <v>1854</v>
      </c>
      <c r="L104" s="64">
        <f t="shared" si="10"/>
        <v>2128</v>
      </c>
    </row>
    <row r="105" spans="1:14" hidden="1" x14ac:dyDescent="0.25">
      <c r="A105" s="7" t="s">
        <v>124</v>
      </c>
      <c r="B105" s="67">
        <f>IFERROR(B103/B101,0)</f>
        <v>0.2044595020485345</v>
      </c>
      <c r="C105" s="67">
        <f t="shared" ref="C105:F105" si="11">C103/C101</f>
        <v>0.22323495370370369</v>
      </c>
      <c r="D105" s="67">
        <f t="shared" si="11"/>
        <v>0.25191598069826854</v>
      </c>
      <c r="E105" s="67">
        <f t="shared" si="11"/>
        <v>0.25285062713797035</v>
      </c>
      <c r="F105" s="67">
        <f t="shared" si="11"/>
        <v>0.26565155807365437</v>
      </c>
      <c r="G105" s="67">
        <f>Methodology!I24*$G$115</f>
        <v>0.30196399345335523</v>
      </c>
      <c r="H105" s="67">
        <f>Methodology!J24*$G$115</f>
        <v>0.31998311789280498</v>
      </c>
      <c r="I105" s="67">
        <f>Methodology!K24*$G$115</f>
        <v>0.33908866111316005</v>
      </c>
      <c r="J105" s="67">
        <f>Methodology!L24*$G$115</f>
        <v>0.359307076706742</v>
      </c>
      <c r="K105" s="67">
        <f>Methodology!M24*$G$115</f>
        <v>0.38075760722391899</v>
      </c>
      <c r="L105" s="67">
        <f>Methodology!N24*$G$115</f>
        <v>0.40348285685895258</v>
      </c>
    </row>
    <row r="106" spans="1:14" hidden="1" x14ac:dyDescent="0.25">
      <c r="A106" s="7" t="s">
        <v>125</v>
      </c>
      <c r="B106" s="67">
        <f>Methodology!C25</f>
        <v>4.9519659304743981E-2</v>
      </c>
      <c r="C106" s="67">
        <f>Methodology!D25</f>
        <v>5.3175637921400634E-2</v>
      </c>
      <c r="D106" s="67">
        <f>Methodology!E25</f>
        <v>5.8148358945171695E-2</v>
      </c>
      <c r="E106" s="67">
        <f>Methodology!F25</f>
        <v>6.8199160625715377E-2</v>
      </c>
      <c r="F106" s="67">
        <f>Methodology!G25</f>
        <v>8.8147362330022183E-2</v>
      </c>
      <c r="G106" s="67">
        <f>Methodology!I25</f>
        <v>0.10432174881154023</v>
      </c>
      <c r="H106" s="67">
        <f>Methodology!J25</f>
        <v>0.12346401511541812</v>
      </c>
      <c r="I106" s="67">
        <f>Methodology!K25</f>
        <v>0.14611874515215131</v>
      </c>
      <c r="J106" s="67">
        <f>Methodology!L25</f>
        <v>0.17293044993620238</v>
      </c>
      <c r="K106" s="67">
        <f>Methodology!M25</f>
        <v>0.20466190346760657</v>
      </c>
      <c r="L106" s="67">
        <f>Methodology!N25</f>
        <v>0.24221584311170591</v>
      </c>
    </row>
    <row r="107" spans="1:14" hidden="1" x14ac:dyDescent="0.25">
      <c r="A107" s="7" t="s">
        <v>126</v>
      </c>
      <c r="B107" s="68">
        <f t="shared" ref="B107:L107" si="12">(B103+B104)/B101</f>
        <v>0.23668452568547116</v>
      </c>
      <c r="C107" s="68">
        <f t="shared" si="12"/>
        <v>0.25889756944444442</v>
      </c>
      <c r="D107" s="68">
        <f t="shared" si="12"/>
        <v>0.29406755606017598</v>
      </c>
      <c r="E107" s="68">
        <f t="shared" si="12"/>
        <v>0.30380558722919043</v>
      </c>
      <c r="F107" s="68">
        <f t="shared" si="12"/>
        <v>0.33038243626062325</v>
      </c>
      <c r="G107" s="68">
        <f t="shared" si="12"/>
        <v>0.36852154937261328</v>
      </c>
      <c r="H107" s="68">
        <f t="shared" si="12"/>
        <v>0.40388241044619788</v>
      </c>
      <c r="I107" s="68">
        <f t="shared" si="12"/>
        <v>0.43565386215504093</v>
      </c>
      <c r="J107" s="68">
        <f t="shared" si="12"/>
        <v>0.47011842467639769</v>
      </c>
      <c r="K107" s="68">
        <f t="shared" si="12"/>
        <v>0.50748615573938605</v>
      </c>
      <c r="L107" s="68">
        <f t="shared" si="12"/>
        <v>0.54796008417622699</v>
      </c>
    </row>
    <row r="108" spans="1:14" hidden="1" x14ac:dyDescent="0.25">
      <c r="A108" s="7" t="s">
        <v>127</v>
      </c>
      <c r="B108" s="68">
        <f t="shared" ref="B108:L108" si="13">B102/B101</f>
        <v>0.76331547431452884</v>
      </c>
      <c r="C108" s="68">
        <f t="shared" si="13"/>
        <v>0.74110243055555558</v>
      </c>
      <c r="D108" s="68">
        <f t="shared" si="13"/>
        <v>0.70593244393982402</v>
      </c>
      <c r="E108" s="68">
        <f t="shared" si="13"/>
        <v>0.69619441277080962</v>
      </c>
      <c r="F108" s="68">
        <f t="shared" si="13"/>
        <v>0.66961756373937675</v>
      </c>
      <c r="G108" s="68">
        <f t="shared" si="13"/>
        <v>0.63147845062738683</v>
      </c>
      <c r="H108" s="68">
        <f t="shared" si="13"/>
        <v>0.59611758955380212</v>
      </c>
      <c r="I108" s="68">
        <f t="shared" si="13"/>
        <v>0.56434613784495913</v>
      </c>
      <c r="J108" s="68">
        <f t="shared" si="13"/>
        <v>0.52988157532360236</v>
      </c>
      <c r="K108" s="68">
        <f t="shared" si="13"/>
        <v>0.49251384426061395</v>
      </c>
      <c r="L108" s="68">
        <f t="shared" si="13"/>
        <v>0.45203991582377301</v>
      </c>
    </row>
    <row r="109" spans="1:14" hidden="1" x14ac:dyDescent="0.25">
      <c r="I109" s="69"/>
    </row>
    <row r="110" spans="1:14" hidden="1" x14ac:dyDescent="0.25">
      <c r="A110" s="7" t="s">
        <v>128</v>
      </c>
      <c r="D110" s="69"/>
      <c r="E110" s="69"/>
      <c r="G110" s="65">
        <f>VLOOKUP(B8,data2!A:E,3,FALSE)</f>
        <v>9354</v>
      </c>
      <c r="H110" s="69"/>
      <c r="I110" s="69"/>
      <c r="J110" s="69"/>
      <c r="K110" s="69"/>
      <c r="L110" s="69"/>
      <c r="M110" s="69"/>
    </row>
    <row r="111" spans="1:14" hidden="1" x14ac:dyDescent="0.25">
      <c r="A111" s="7" t="s">
        <v>129</v>
      </c>
      <c r="G111" s="65">
        <f>VLOOKUP(B8,data2!A:E,4,FALSE)</f>
        <v>882</v>
      </c>
      <c r="I111" s="69"/>
      <c r="J111" s="69"/>
      <c r="K111" s="69"/>
      <c r="L111" s="69"/>
    </row>
    <row r="112" spans="1:14" hidden="1" x14ac:dyDescent="0.25">
      <c r="A112" s="7" t="s">
        <v>130</v>
      </c>
      <c r="G112" s="65">
        <f>VLOOKUP(B8,data2!A:E,5,FALSE)</f>
        <v>4428.0000000000009</v>
      </c>
      <c r="I112" s="70"/>
      <c r="J112" s="69"/>
      <c r="K112" s="69"/>
      <c r="L112" s="69"/>
    </row>
    <row r="113" spans="1:16" hidden="1" x14ac:dyDescent="0.25"/>
    <row r="114" spans="1:16" hidden="1" x14ac:dyDescent="0.25">
      <c r="A114" s="7" t="s">
        <v>131</v>
      </c>
      <c r="G114" s="1">
        <f>IFERROR(G110/(G111+G110),0)</f>
        <v>0.91383352872215706</v>
      </c>
    </row>
    <row r="115" spans="1:16" hidden="1" x14ac:dyDescent="0.25">
      <c r="A115" s="7" t="s">
        <v>132</v>
      </c>
      <c r="G115" s="1">
        <f>IFERROR((G112/SUM(G110:G112))/Methodology!I24,0)</f>
        <v>1.0726774886102202</v>
      </c>
    </row>
    <row r="116" spans="1:16" hidden="1" x14ac:dyDescent="0.25"/>
    <row r="117" spans="1:16" hidden="1" x14ac:dyDescent="0.25">
      <c r="A117" s="7" t="s">
        <v>133</v>
      </c>
      <c r="B117" s="7">
        <f>Methodology!C36</f>
        <v>2015</v>
      </c>
      <c r="C117" s="7">
        <f>Methodology!D36</f>
        <v>2016</v>
      </c>
      <c r="D117" s="7">
        <f>Methodology!E36</f>
        <v>2017</v>
      </c>
      <c r="E117" s="7">
        <f>Methodology!F36</f>
        <v>2018</v>
      </c>
      <c r="F117" s="7">
        <f>Methodology!G36</f>
        <v>2019</v>
      </c>
      <c r="G117" s="7">
        <f>Methodology!I36</f>
        <v>2020</v>
      </c>
      <c r="H117" s="7">
        <f>Methodology!J36</f>
        <v>2021</v>
      </c>
      <c r="I117" s="7">
        <f>Methodology!K36</f>
        <v>2022</v>
      </c>
      <c r="J117" s="7">
        <f>Methodology!L36</f>
        <v>2023</v>
      </c>
      <c r="K117" s="7">
        <f>Methodology!M36</f>
        <v>2024</v>
      </c>
      <c r="L117" s="7">
        <f>Methodology!N36</f>
        <v>2025</v>
      </c>
    </row>
    <row r="118" spans="1:16" hidden="1" x14ac:dyDescent="0.25">
      <c r="A118" s="7" t="s">
        <v>134</v>
      </c>
      <c r="B118" s="39">
        <f>Methodology!C37</f>
        <v>1883.6157996146435</v>
      </c>
      <c r="C118" s="39">
        <f>Methodology!D37</f>
        <v>1837.7608554763449</v>
      </c>
      <c r="D118" s="39">
        <f>Methodology!E37</f>
        <v>1821.6481690140845</v>
      </c>
      <c r="E118" s="39">
        <f>Methodology!F37</f>
        <v>1960.7266065388951</v>
      </c>
      <c r="F118" s="39">
        <f>Methodology!G37</f>
        <v>1994.3940282591309</v>
      </c>
      <c r="G118" s="39">
        <f>Methodology!I37</f>
        <v>2049.5174541584715</v>
      </c>
      <c r="H118" s="39">
        <f>Methodology!J37</f>
        <v>2106.1644466348403</v>
      </c>
      <c r="I118" s="39">
        <f>Methodology!K37</f>
        <v>2164.377115827017</v>
      </c>
      <c r="J118" s="39">
        <f>Methodology!L37</f>
        <v>2224.1987357637054</v>
      </c>
      <c r="K118" s="39">
        <f>Methodology!M37</f>
        <v>2285.6737765325033</v>
      </c>
      <c r="L118" s="39">
        <f>Methodology!N37</f>
        <v>2348.8479373379955</v>
      </c>
    </row>
    <row r="119" spans="1:16" hidden="1" x14ac:dyDescent="0.25">
      <c r="A119" s="7" t="s">
        <v>135</v>
      </c>
      <c r="B119" s="39">
        <f>Methodology!C38</f>
        <v>2385.5239999999999</v>
      </c>
      <c r="C119" s="39">
        <f>Methodology!D38</f>
        <v>2298.549912434326</v>
      </c>
      <c r="D119" s="39">
        <f>Methodology!E38</f>
        <v>2409.8205546492659</v>
      </c>
      <c r="E119" s="39">
        <f>Methodology!F38</f>
        <v>2419.4797202797204</v>
      </c>
      <c r="F119" s="39">
        <f>Methodology!G38</f>
        <v>2578.5919037199124</v>
      </c>
      <c r="G119" s="39">
        <f>Methodology!I38</f>
        <v>2679.3256806733148</v>
      </c>
      <c r="H119" s="39">
        <f>Methodology!J38</f>
        <v>2783.9946649794815</v>
      </c>
      <c r="I119" s="39">
        <f>Methodology!K38</f>
        <v>2892.7525871683069</v>
      </c>
      <c r="J119" s="39">
        <f>Methodology!L38</f>
        <v>3005.7591833174747</v>
      </c>
      <c r="K119" s="39">
        <f>Methodology!M38</f>
        <v>3123.1804296617088</v>
      </c>
      <c r="L119" s="39">
        <f>Methodology!N38</f>
        <v>3245.1887863671313</v>
      </c>
    </row>
    <row r="120" spans="1:16" hidden="1" x14ac:dyDescent="0.25">
      <c r="J120" s="71"/>
      <c r="K120" s="39"/>
      <c r="L120" s="39"/>
      <c r="M120" s="39"/>
      <c r="N120" s="39"/>
      <c r="O120" s="39"/>
      <c r="P120" s="39"/>
    </row>
    <row r="121" spans="1:16" hidden="1" x14ac:dyDescent="0.25">
      <c r="B121" s="1" t="s">
        <v>136</v>
      </c>
      <c r="C121" s="1" t="s">
        <v>137</v>
      </c>
      <c r="D121" s="1" t="s">
        <v>138</v>
      </c>
      <c r="E121" s="1" t="s">
        <v>139</v>
      </c>
    </row>
    <row r="122" spans="1:16" hidden="1" x14ac:dyDescent="0.25">
      <c r="A122" s="1" t="str">
        <f>Settings!B11</f>
        <v>Status quo (subscription-based system)</v>
      </c>
      <c r="B122" s="72">
        <v>0</v>
      </c>
      <c r="C122" s="67" t="s">
        <v>140</v>
      </c>
      <c r="D122" s="69">
        <f t="shared" ref="D122:D126" si="14">$G$77</f>
        <v>6.7211215840421001E-2</v>
      </c>
      <c r="E122" s="69">
        <f t="shared" ref="E122:E126" si="15">$G$78</f>
        <v>0.16977776610258211</v>
      </c>
    </row>
    <row r="123" spans="1:16" hidden="1" x14ac:dyDescent="0.25">
      <c r="A123" s="1" t="str">
        <f>Settings!B12</f>
        <v>Access to all journals (40% increase in subscriptions)</v>
      </c>
      <c r="B123" s="72">
        <f>Settings!C24</f>
        <v>0.4</v>
      </c>
      <c r="C123" s="67" t="s">
        <v>140</v>
      </c>
      <c r="D123" s="69">
        <f t="shared" si="14"/>
        <v>6.7211215840421001E-2</v>
      </c>
      <c r="E123" s="69">
        <f t="shared" si="15"/>
        <v>0.16977776610258211</v>
      </c>
    </row>
    <row r="124" spans="1:16" hidden="1" x14ac:dyDescent="0.25">
      <c r="A124" s="1" t="str">
        <f>Settings!B13</f>
        <v>70% Open Access by 2025 (BMBF target)</v>
      </c>
      <c r="B124" s="72">
        <v>0</v>
      </c>
      <c r="C124" s="67" t="s">
        <v>141</v>
      </c>
      <c r="D124" s="67"/>
      <c r="E124" s="67"/>
    </row>
    <row r="125" spans="1:16" hidden="1" x14ac:dyDescent="0.25">
      <c r="A125" s="1" t="str">
        <f>Settings!B14</f>
        <v>100% Open Access</v>
      </c>
      <c r="B125" s="72">
        <v>0</v>
      </c>
      <c r="C125" s="67">
        <v>1</v>
      </c>
      <c r="D125" s="69">
        <f t="shared" si="14"/>
        <v>6.7211215840421001E-2</v>
      </c>
      <c r="E125" s="69">
        <f t="shared" si="15"/>
        <v>0.16977776610258211</v>
      </c>
    </row>
    <row r="126" spans="1:16" hidden="1" x14ac:dyDescent="0.25">
      <c r="A126" s="1" t="str">
        <f>Settings!B15</f>
        <v>100% OA and access to all journals</v>
      </c>
      <c r="B126" s="72">
        <f>Settings!C24</f>
        <v>0.4</v>
      </c>
      <c r="C126" s="67">
        <v>1</v>
      </c>
      <c r="D126" s="69">
        <f t="shared" si="14"/>
        <v>6.7211215840421001E-2</v>
      </c>
      <c r="E126" s="69">
        <f t="shared" si="15"/>
        <v>0.16977776610258211</v>
      </c>
    </row>
    <row r="127" spans="1:16" hidden="1" x14ac:dyDescent="0.25"/>
    <row r="128" spans="1:16" hidden="1" x14ac:dyDescent="0.25"/>
    <row r="129" spans="1:7" hidden="1" x14ac:dyDescent="0.25">
      <c r="B129" s="37">
        <v>2020</v>
      </c>
      <c r="C129" s="37">
        <v>2021</v>
      </c>
      <c r="D129" s="37">
        <v>2022</v>
      </c>
      <c r="E129" s="37">
        <v>2023</v>
      </c>
      <c r="F129" s="37">
        <v>2024</v>
      </c>
      <c r="G129" s="37">
        <v>2025</v>
      </c>
    </row>
    <row r="130" spans="1:7" hidden="1" x14ac:dyDescent="0.25">
      <c r="A130" s="1" t="s">
        <v>142</v>
      </c>
      <c r="B130" s="69">
        <f>IFERROR(_xlfn.RRI(8-COLUMN(),SUM(F103:F104),$L$101*Settings!$C$25),0)</f>
        <v>0.14133491615955029</v>
      </c>
      <c r="C130" s="69">
        <f>IFERROR(_xlfn.RRI(8-COLUMN(),SUM(G103:G104),$L$101*Settings!$C$25),0)</f>
        <v>0.13794949082602237</v>
      </c>
      <c r="D130" s="69">
        <f>IFERROR(_xlfn.RRI(8-COLUMN(),SUM(H103:H104),$L$101*Settings!$C$25),0)</f>
        <v>0.15551475730492714</v>
      </c>
      <c r="E130" s="69">
        <f>IFERROR(_xlfn.RRI(8-COLUMN(),SUM(I103:I104),$L$101*Settings!$C$25),0)</f>
        <v>0.17956280606686037</v>
      </c>
      <c r="F130" s="69">
        <f>IFERROR(_xlfn.RRI(8-COLUMN(),SUM(J103:J104),$L$101*Settings!$C$25),0)</f>
        <v>0.22890519048212465</v>
      </c>
      <c r="G130" s="69">
        <f>IFERROR(_xlfn.RRI(8-COLUMN(),SUM(K103:K104),$L$101*Settings!$C$25),0)</f>
        <v>0.38915532803448727</v>
      </c>
    </row>
    <row r="131" spans="1:7" hidden="1" x14ac:dyDescent="0.25"/>
    <row r="132" spans="1:7" hidden="1" x14ac:dyDescent="0.25"/>
    <row r="133" spans="1:7" hidden="1" x14ac:dyDescent="0.25"/>
    <row r="134" spans="1:7" hidden="1" x14ac:dyDescent="0.25">
      <c r="A134" s="1" t="s">
        <v>143</v>
      </c>
    </row>
    <row r="135" spans="1:7" hidden="1" x14ac:dyDescent="0.25">
      <c r="A135" s="1">
        <v>2015</v>
      </c>
      <c r="B135" s="73">
        <f>(E87*(1+B126)*((1+G82)^7)+(ROUND(L101*L105,0)*L118)+(ROUND((L101-(L101*L105)),0)*L119))</f>
        <v>88126828.180915862</v>
      </c>
    </row>
    <row r="136" spans="1:7" hidden="1" x14ac:dyDescent="0.25"/>
    <row r="164" ht="13.9" customHeight="1" x14ac:dyDescent="0.25"/>
  </sheetData>
  <sheetProtection algorithmName="SHA-512" hashValue="gdf0JhYXJAJi7yJjEczqT/O/7Zmi9t7komFeniOQEKoGvV03dNjxVisetOspekJnY6xiVu+wKE+LHo9XaEhY9A==" saltValue="pigfvBamdl39xk+d158jHA==" spinCount="100000" sheet="1" objects="1" scenarios="1" selectLockedCells="1"/>
  <mergeCells count="2">
    <mergeCell ref="A62:B62"/>
    <mergeCell ref="A74:G74"/>
  </mergeCells>
  <dataValidations count="1">
    <dataValidation allowBlank="1" showInputMessage="1" sqref="B9"/>
  </dataValidations>
  <pageMargins left="0.78740157480314965" right="0.19685039370078741" top="0.39370078740157483" bottom="0.39370078740157483" header="0" footer="0"/>
  <pageSetup paperSize="9" scale="6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data2!$A$2:$A$18</xm:f>
          </x14:formula1>
          <xm:sqref>B8</xm:sqref>
        </x14:dataValidation>
        <x14:dataValidation type="list" allowBlank="1" showInputMessage="1" showErrorMessage="1">
          <x14:formula1>
            <xm:f>Settings!$B$11:$B$15</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D5C2A"/>
  </sheetPr>
  <dimension ref="A1:P162"/>
  <sheetViews>
    <sheetView showGridLines="0" showRowColHeaders="0" zoomScaleNormal="100" workbookViewId="0">
      <selection activeCell="B7" sqref="B7"/>
    </sheetView>
  </sheetViews>
  <sheetFormatPr baseColWidth="10" defaultColWidth="11.5703125" defaultRowHeight="15" x14ac:dyDescent="0.25"/>
  <cols>
    <col min="1" max="1" width="22.85546875" style="1" bestFit="1" customWidth="1"/>
    <col min="2" max="2" width="112.5703125" style="1" bestFit="1" customWidth="1"/>
    <col min="3" max="3" width="13.5703125" style="1" bestFit="1" customWidth="1"/>
    <col min="4" max="4" width="23.7109375" style="1" bestFit="1" customWidth="1"/>
    <col min="5" max="5" width="25.5703125" style="1" bestFit="1" customWidth="1"/>
    <col min="6" max="8" width="12.7109375" style="1" bestFit="1" customWidth="1"/>
    <col min="9" max="9" width="25.5703125" style="1" bestFit="1" customWidth="1"/>
    <col min="10" max="10" width="12.7109375" style="1" bestFit="1" customWidth="1"/>
    <col min="11" max="11" width="14.42578125" style="1" bestFit="1" customWidth="1"/>
    <col min="12" max="12" width="12.42578125" style="1" bestFit="1" customWidth="1"/>
    <col min="13" max="13" width="14.28515625" style="1" bestFit="1" customWidth="1"/>
    <col min="14" max="14" width="21.42578125" style="1" bestFit="1" customWidth="1"/>
    <col min="15" max="15" width="14.7109375" style="1" bestFit="1" customWidth="1"/>
    <col min="16" max="16" width="11.5703125" style="1" bestFit="1" customWidth="1"/>
    <col min="17" max="17" width="12.5703125" style="1" bestFit="1" customWidth="1"/>
    <col min="18" max="18" width="36.7109375" style="1" bestFit="1" customWidth="1"/>
    <col min="19" max="20" width="12.140625" style="1" bestFit="1" customWidth="1"/>
    <col min="21" max="22" width="12.5703125" style="1" bestFit="1" customWidth="1"/>
    <col min="23" max="29" width="12.140625" style="1" bestFit="1" customWidth="1"/>
    <col min="30" max="30" width="11.5703125" style="1" bestFit="1"/>
    <col min="31" max="16384" width="11.5703125" style="1"/>
  </cols>
  <sheetData>
    <row r="1" spans="1:2" ht="8.4499999999999993" customHeight="1" x14ac:dyDescent="0.25"/>
    <row r="2" spans="1:2" ht="21" x14ac:dyDescent="0.35">
      <c r="A2" s="2" t="s">
        <v>181</v>
      </c>
    </row>
    <row r="3" spans="1:2" ht="21" x14ac:dyDescent="0.35">
      <c r="A3" s="3" t="s">
        <v>0</v>
      </c>
    </row>
    <row r="4" spans="1:2" ht="18.75" x14ac:dyDescent="0.3">
      <c r="A4" s="4" t="s">
        <v>9</v>
      </c>
    </row>
    <row r="5" spans="1:2" ht="18.75" x14ac:dyDescent="0.3">
      <c r="A5" s="5">
        <f>ReadMe!B4</f>
        <v>44404</v>
      </c>
      <c r="B5" s="80" t="str">
        <f>IF(B156=FALSE,"COMPLETE THE DATA ENTRIES IN THE SETTINGS TAB","")</f>
        <v>COMPLETE THE DATA ENTRIES IN THE SETTINGS TAB</v>
      </c>
    </row>
    <row r="6" spans="1:2" ht="9" customHeight="1" x14ac:dyDescent="0.25"/>
    <row r="7" spans="1:2" ht="14.45" customHeight="1" x14ac:dyDescent="0.25">
      <c r="A7" s="29" t="s">
        <v>100</v>
      </c>
      <c r="B7" s="91" t="s">
        <v>68</v>
      </c>
    </row>
    <row r="8" spans="1:2" ht="14.45" customHeight="1" x14ac:dyDescent="0.25"/>
    <row r="9" spans="1:2" ht="14.45" customHeight="1" x14ac:dyDescent="0.25"/>
    <row r="10" spans="1:2" ht="14.45" customHeight="1" x14ac:dyDescent="0.25"/>
    <row r="11" spans="1:2" ht="14.45" customHeight="1" x14ac:dyDescent="0.25"/>
    <row r="12" spans="1:2" ht="14.45" customHeight="1" x14ac:dyDescent="0.25"/>
    <row r="13" spans="1:2" ht="14.45" customHeight="1" x14ac:dyDescent="0.25"/>
    <row r="14" spans="1:2" ht="14.45" customHeight="1" x14ac:dyDescent="0.25"/>
    <row r="15" spans="1:2" ht="14.45" customHeight="1" x14ac:dyDescent="0.25"/>
    <row r="16" spans="1:2" ht="14.45" customHeight="1" x14ac:dyDescent="0.25"/>
    <row r="17" spans="1:2" ht="14.45" customHeight="1" x14ac:dyDescent="0.25"/>
    <row r="18" spans="1:2" ht="14.45" customHeight="1" x14ac:dyDescent="0.25"/>
    <row r="19" spans="1:2" ht="14.45" customHeight="1" x14ac:dyDescent="0.25"/>
    <row r="20" spans="1:2" ht="14.45" customHeight="1" x14ac:dyDescent="0.25"/>
    <row r="21" spans="1:2" ht="14.45" customHeight="1" x14ac:dyDescent="0.25"/>
    <row r="22" spans="1:2" ht="14.45" customHeight="1" x14ac:dyDescent="0.25"/>
    <row r="23" spans="1:2" ht="14.45" customHeight="1" x14ac:dyDescent="0.25"/>
    <row r="24" spans="1:2" ht="14.45" customHeight="1" x14ac:dyDescent="0.25"/>
    <row r="25" spans="1:2" ht="14.45" customHeight="1" x14ac:dyDescent="0.25"/>
    <row r="26" spans="1:2" ht="14.45" customHeight="1" x14ac:dyDescent="0.25"/>
    <row r="27" spans="1:2" ht="14.45" customHeight="1" x14ac:dyDescent="0.25"/>
    <row r="28" spans="1:2" ht="14.45" customHeight="1" x14ac:dyDescent="0.25"/>
    <row r="29" spans="1:2" ht="14.45" customHeight="1" x14ac:dyDescent="0.25"/>
    <row r="30" spans="1:2" ht="14.45" customHeight="1" x14ac:dyDescent="0.25"/>
    <row r="31" spans="1:2" ht="66" customHeight="1" x14ac:dyDescent="0.25">
      <c r="A31" s="32" t="s">
        <v>101</v>
      </c>
      <c r="B31" s="109" t="s">
        <v>179</v>
      </c>
    </row>
    <row r="32" spans="1:2" ht="78" customHeight="1" x14ac:dyDescent="0.25">
      <c r="A32" s="33" t="s">
        <v>102</v>
      </c>
      <c r="B32" s="109" t="s">
        <v>242</v>
      </c>
    </row>
    <row r="33" spans="1:11" ht="66" customHeight="1" x14ac:dyDescent="0.25">
      <c r="A33" s="34" t="s">
        <v>33</v>
      </c>
      <c r="B33" s="109" t="s">
        <v>243</v>
      </c>
    </row>
    <row r="34" spans="1:11" ht="78" customHeight="1" x14ac:dyDescent="0.25">
      <c r="A34" s="35" t="s">
        <v>103</v>
      </c>
      <c r="B34" s="109" t="s">
        <v>244</v>
      </c>
    </row>
    <row r="35" spans="1:11" ht="30" customHeight="1" x14ac:dyDescent="0.25">
      <c r="A35" s="110"/>
      <c r="B35" s="109" t="s">
        <v>180</v>
      </c>
    </row>
    <row r="36" spans="1:11" ht="13.9" customHeight="1" x14ac:dyDescent="0.25"/>
    <row r="37" spans="1:11" ht="13.9" customHeight="1" x14ac:dyDescent="0.25"/>
    <row r="38" spans="1:11" ht="13.9" customHeight="1" x14ac:dyDescent="0.25"/>
    <row r="39" spans="1:11" ht="13.9" customHeight="1" x14ac:dyDescent="0.25"/>
    <row r="41" spans="1:11" x14ac:dyDescent="0.25">
      <c r="G41" s="36"/>
      <c r="H41" s="36"/>
    </row>
    <row r="42" spans="1:11" x14ac:dyDescent="0.25">
      <c r="H42" s="36"/>
    </row>
    <row r="45" spans="1:11" x14ac:dyDescent="0.25">
      <c r="G45" s="7"/>
      <c r="H45" s="7"/>
    </row>
    <row r="47" spans="1:11" x14ac:dyDescent="0.25">
      <c r="J47" s="37"/>
      <c r="K47" s="37"/>
    </row>
    <row r="50" spans="1:8" x14ac:dyDescent="0.25">
      <c r="F50" s="7"/>
      <c r="G50" s="7"/>
      <c r="H50" s="7"/>
    </row>
    <row r="51" spans="1:8" x14ac:dyDescent="0.25">
      <c r="G51" s="38"/>
      <c r="H51" s="38"/>
    </row>
    <row r="52" spans="1:8" x14ac:dyDescent="0.25">
      <c r="H52" s="36"/>
    </row>
    <row r="53" spans="1:8" x14ac:dyDescent="0.25">
      <c r="H53" s="36"/>
    </row>
    <row r="59" spans="1:8" ht="43.15" customHeight="1" x14ac:dyDescent="0.25">
      <c r="A59" s="173" t="s">
        <v>104</v>
      </c>
      <c r="B59" s="173"/>
    </row>
    <row r="60" spans="1:8" ht="10.9" customHeight="1" x14ac:dyDescent="0.25"/>
    <row r="61" spans="1:8" ht="15" customHeight="1" x14ac:dyDescent="0.25">
      <c r="A61" s="93" t="s">
        <v>215</v>
      </c>
      <c r="B61" s="93" t="str">
        <f>IF(A141=TRUE,"User data","Tool estimation")</f>
        <v>Tool estimation</v>
      </c>
    </row>
    <row r="62" spans="1:8" ht="15" customHeight="1" x14ac:dyDescent="0.25">
      <c r="A62" s="93" t="str">
        <f>IF(B61="User data","Data normalization applied:","")</f>
        <v/>
      </c>
      <c r="B62" s="93" t="str">
        <f>IF(B61="User data",Settings!C72,"")</f>
        <v/>
      </c>
    </row>
    <row r="64" spans="1:8" hidden="1" x14ac:dyDescent="0.25">
      <c r="B64" s="1" t="str">
        <f>CONCATENATE("Cost development"," - ",$B$7)</f>
        <v>Cost development - Status quo (subscription-based system)</v>
      </c>
    </row>
    <row r="65" spans="1:11" hidden="1" x14ac:dyDescent="0.25">
      <c r="B65" s="1" t="str">
        <f>CONCATENATE("Cost avoidance / funding gap"," - ",$B$7)</f>
        <v>Cost avoidance / funding gap - Status quo (subscription-based system)</v>
      </c>
      <c r="D65" s="7"/>
    </row>
    <row r="66" spans="1:11" hidden="1" x14ac:dyDescent="0.25">
      <c r="C66" s="39"/>
      <c r="D66" s="39"/>
    </row>
    <row r="67" spans="1:11" hidden="1" x14ac:dyDescent="0.25">
      <c r="A67" s="40" t="s">
        <v>105</v>
      </c>
      <c r="B67" s="41">
        <v>2020</v>
      </c>
    </row>
    <row r="68" spans="1:11" hidden="1" x14ac:dyDescent="0.25">
      <c r="A68" s="42" t="s">
        <v>106</v>
      </c>
      <c r="B68" s="43" t="e">
        <f>SUM(B69:B71)</f>
        <v>#VALUE!</v>
      </c>
    </row>
    <row r="69" spans="1:11" hidden="1" x14ac:dyDescent="0.25">
      <c r="A69" s="42" t="s">
        <v>144</v>
      </c>
      <c r="B69" s="44" t="str">
        <f t="shared" ref="B69:B71" si="0">G109</f>
        <v>enter data</v>
      </c>
      <c r="F69" s="1">
        <f>IFERROR(IF(Settings!$C$72="Yes",data2!M5,1),1)</f>
        <v>1</v>
      </c>
    </row>
    <row r="70" spans="1:11" hidden="1" x14ac:dyDescent="0.25">
      <c r="A70" s="42" t="s">
        <v>145</v>
      </c>
      <c r="B70" s="44" t="str">
        <f t="shared" si="0"/>
        <v>enter data</v>
      </c>
      <c r="F70" s="1">
        <f>IFERROR(IF(Settings!$C$72="Yes",data2!M6,1),1)</f>
        <v>1</v>
      </c>
    </row>
    <row r="71" spans="1:11" hidden="1" x14ac:dyDescent="0.25">
      <c r="A71" s="42" t="s">
        <v>17</v>
      </c>
      <c r="B71" s="44" t="e">
        <f t="shared" si="0"/>
        <v>#VALUE!</v>
      </c>
      <c r="F71" s="1">
        <f>IFERROR(IF(Settings!$C$72="Yes",data2!M7,1),1)</f>
        <v>1</v>
      </c>
    </row>
    <row r="72" spans="1:11" hidden="1" x14ac:dyDescent="0.25"/>
    <row r="73" spans="1:11" ht="15.75" hidden="1" x14ac:dyDescent="0.25">
      <c r="A73" s="174" t="s">
        <v>108</v>
      </c>
      <c r="B73" s="175"/>
      <c r="C73" s="175"/>
      <c r="D73" s="175"/>
      <c r="E73" s="175"/>
      <c r="F73" s="175"/>
      <c r="G73" s="176"/>
      <c r="H73" s="36"/>
      <c r="I73" s="45" t="s">
        <v>109</v>
      </c>
      <c r="J73" s="46" t="s">
        <v>110</v>
      </c>
      <c r="K73" s="47" t="s">
        <v>111</v>
      </c>
    </row>
    <row r="74" spans="1:11" hidden="1" x14ac:dyDescent="0.25">
      <c r="A74" s="48" t="s">
        <v>112</v>
      </c>
      <c r="B74" s="48">
        <v>2015</v>
      </c>
      <c r="C74" s="48">
        <v>2016</v>
      </c>
      <c r="D74" s="48">
        <v>2017</v>
      </c>
      <c r="E74" s="48">
        <v>2018</v>
      </c>
      <c r="F74" s="48">
        <v>2019</v>
      </c>
      <c r="G74" s="49" t="s">
        <v>113</v>
      </c>
      <c r="H74" s="36"/>
      <c r="I74" s="50">
        <v>2019</v>
      </c>
      <c r="J74" s="51">
        <f>F93</f>
        <v>0</v>
      </c>
      <c r="K74" s="52">
        <f>J74</f>
        <v>0</v>
      </c>
    </row>
    <row r="75" spans="1:11" hidden="1" x14ac:dyDescent="0.25">
      <c r="A75" s="42" t="s">
        <v>19</v>
      </c>
      <c r="B75" s="44">
        <f>IF($A$141=TRUE,Settings!C56*$F$69,Settings!C49)</f>
        <v>0</v>
      </c>
      <c r="C75" s="44">
        <f>IF($A$141=TRUE,Settings!D56*$F$69,Settings!D49)</f>
        <v>0</v>
      </c>
      <c r="D75" s="44">
        <f>IF($A$141=TRUE,Settings!E56*$F$69,Settings!E49)</f>
        <v>0</v>
      </c>
      <c r="E75" s="44">
        <f>IF($A$141=TRUE,Settings!F56*$F$69,Settings!F49)</f>
        <v>0</v>
      </c>
      <c r="F75" s="44">
        <f>IF($A$141=TRUE,Settings!G56*$F$69,Settings!G49)</f>
        <v>0</v>
      </c>
      <c r="G75" s="74">
        <f>Settings!C22</f>
        <v>7.0870014399937453E-3</v>
      </c>
      <c r="H75" s="36"/>
      <c r="I75" s="54">
        <v>2020</v>
      </c>
      <c r="J75" s="55" t="e">
        <f>G93</f>
        <v>#VALUE!</v>
      </c>
      <c r="K75" s="56" t="e">
        <f t="shared" ref="K75:K80" si="1">K74+J75</f>
        <v>#VALUE!</v>
      </c>
    </row>
    <row r="76" spans="1:11" hidden="1" x14ac:dyDescent="0.25">
      <c r="A76" s="42" t="s">
        <v>114</v>
      </c>
      <c r="B76" s="44">
        <f>IF($A$141=TRUE,Settings!C57*$F$70,Settings!C50)</f>
        <v>0</v>
      </c>
      <c r="C76" s="44">
        <f>IF($A$141=TRUE,Settings!D57*$F$70,Settings!D50)</f>
        <v>0</v>
      </c>
      <c r="D76" s="44">
        <f>IF($A$141=TRUE,Settings!E57*$F$70,Settings!E50)</f>
        <v>0</v>
      </c>
      <c r="E76" s="44">
        <f>IF($A$141=TRUE,Settings!F57*$F$70,Settings!F50)</f>
        <v>0</v>
      </c>
      <c r="F76" s="44">
        <f>IF($A$141=TRUE,Settings!G57*$F$70,Settings!G50)</f>
        <v>0</v>
      </c>
      <c r="G76" s="44" t="str">
        <f>IF($A$141=TRUE,Settings!H57,Settings!H50)</f>
        <v>complete Step 1</v>
      </c>
      <c r="H76" s="36"/>
      <c r="I76" s="54">
        <v>2021</v>
      </c>
      <c r="J76" s="55" t="e">
        <f>H93</f>
        <v>#VALUE!</v>
      </c>
      <c r="K76" s="56" t="e">
        <f t="shared" si="1"/>
        <v>#VALUE!</v>
      </c>
    </row>
    <row r="77" spans="1:11" hidden="1" x14ac:dyDescent="0.25">
      <c r="A77" s="42" t="s">
        <v>107</v>
      </c>
      <c r="B77" s="44">
        <f>IF($A$141=TRUE,Settings!C58*$F$71,Settings!C51)</f>
        <v>0</v>
      </c>
      <c r="C77" s="44">
        <f>IF($A$141=TRUE,Settings!D58*$F$71,Settings!D51)</f>
        <v>0</v>
      </c>
      <c r="D77" s="44">
        <f>IF($A$141=TRUE,Settings!E58*$F$71,Settings!E51)</f>
        <v>0</v>
      </c>
      <c r="E77" s="44">
        <f>IF($A$141=TRUE,Settings!F58*$F$71,Settings!F51)</f>
        <v>0</v>
      </c>
      <c r="F77" s="44">
        <f>IF($A$141=TRUE,Settings!G58*$F$71,Settings!G51)</f>
        <v>0</v>
      </c>
      <c r="G77" s="44" t="str">
        <f>IF($A$141=TRUE,Settings!H58,Settings!H51)</f>
        <v>complete Step 1</v>
      </c>
      <c r="H77" s="36"/>
      <c r="I77" s="54">
        <v>2022</v>
      </c>
      <c r="J77" s="55" t="e">
        <f>I93</f>
        <v>#VALUE!</v>
      </c>
      <c r="K77" s="56" t="e">
        <f t="shared" si="1"/>
        <v>#VALUE!</v>
      </c>
    </row>
    <row r="78" spans="1:11" hidden="1" x14ac:dyDescent="0.25">
      <c r="A78" s="42" t="s">
        <v>115</v>
      </c>
      <c r="B78" s="57" t="e">
        <f>(B75-B76-B77)/B75</f>
        <v>#DIV/0!</v>
      </c>
      <c r="C78" s="57" t="e">
        <f>(C75-C76-C77)/C75</f>
        <v>#DIV/0!</v>
      </c>
      <c r="D78" s="57" t="e">
        <f>(D75-D76-D77)/D75</f>
        <v>#DIV/0!</v>
      </c>
      <c r="E78" s="57" t="e">
        <f>(E75-E76-E77)/E75</f>
        <v>#DIV/0!</v>
      </c>
      <c r="F78" s="57" t="e">
        <f>(F75-F76-F77)/F75</f>
        <v>#DIV/0!</v>
      </c>
      <c r="G78" s="75" t="e">
        <f>_xlfn.RRI(4,B78,F78)</f>
        <v>#DIV/0!</v>
      </c>
      <c r="H78" s="36"/>
      <c r="I78" s="54">
        <v>2023</v>
      </c>
      <c r="J78" s="55" t="e">
        <f>J93</f>
        <v>#VALUE!</v>
      </c>
      <c r="K78" s="56" t="e">
        <f t="shared" si="1"/>
        <v>#VALUE!</v>
      </c>
    </row>
    <row r="79" spans="1:11" hidden="1" x14ac:dyDescent="0.25">
      <c r="G79" s="7"/>
      <c r="H79" s="36"/>
      <c r="I79" s="54">
        <v>2024</v>
      </c>
      <c r="J79" s="55" t="e">
        <f>K93</f>
        <v>#VALUE!</v>
      </c>
      <c r="K79" s="56" t="e">
        <f t="shared" si="1"/>
        <v>#VALUE!</v>
      </c>
    </row>
    <row r="80" spans="1:11" hidden="1" x14ac:dyDescent="0.25">
      <c r="A80" s="48" t="s">
        <v>116</v>
      </c>
      <c r="B80" s="48">
        <v>2015</v>
      </c>
      <c r="C80" s="48">
        <v>2016</v>
      </c>
      <c r="D80" s="48">
        <v>2017</v>
      </c>
      <c r="E80" s="48">
        <v>2018</v>
      </c>
      <c r="F80" s="48">
        <v>2019</v>
      </c>
      <c r="G80" s="49" t="s">
        <v>113</v>
      </c>
      <c r="H80" s="36"/>
      <c r="I80" s="58">
        <v>2025</v>
      </c>
      <c r="J80" s="59" t="e">
        <f>L93</f>
        <v>#VALUE!</v>
      </c>
      <c r="K80" s="60" t="e">
        <f t="shared" si="1"/>
        <v>#VALUE!</v>
      </c>
    </row>
    <row r="81" spans="1:12" hidden="1" x14ac:dyDescent="0.25">
      <c r="A81" s="42" t="s">
        <v>101</v>
      </c>
      <c r="B81" s="61" t="str">
        <f>Settings!C39</f>
        <v>enter data</v>
      </c>
      <c r="C81" s="61" t="str">
        <f>Settings!D39</f>
        <v>enter data</v>
      </c>
      <c r="D81" s="61" t="str">
        <f>Settings!E39</f>
        <v>enter data</v>
      </c>
      <c r="E81" s="61" t="str">
        <f>Settings!F39</f>
        <v>enter data</v>
      </c>
      <c r="F81" s="61" t="str">
        <f>Settings!G39</f>
        <v>enter data</v>
      </c>
      <c r="G81" s="53">
        <f>Settings!C23</f>
        <v>0.03</v>
      </c>
      <c r="H81" s="36"/>
    </row>
    <row r="82" spans="1:12" hidden="1" x14ac:dyDescent="0.25">
      <c r="A82" s="42" t="s">
        <v>117</v>
      </c>
      <c r="B82" s="61">
        <f>SUM(B102*B117,B103*B118)</f>
        <v>0</v>
      </c>
      <c r="C82" s="61">
        <f>SUM(C102*C117,C103*C118)</f>
        <v>0</v>
      </c>
      <c r="D82" s="61">
        <f>SUM(D102*D117,D103*D118)</f>
        <v>0</v>
      </c>
      <c r="E82" s="61">
        <f>SUM(E102*E117,E103*E118)</f>
        <v>0</v>
      </c>
      <c r="F82" s="61">
        <f>SUM(F102*F117,F103*F118)</f>
        <v>0</v>
      </c>
      <c r="G82" s="53">
        <f t="shared" ref="G82:G83" si="2">_xlfn.RRI(3,B82,E82)</f>
        <v>0</v>
      </c>
      <c r="H82" s="36"/>
    </row>
    <row r="83" spans="1:12" hidden="1" x14ac:dyDescent="0.25">
      <c r="A83" s="42" t="s">
        <v>118</v>
      </c>
      <c r="B83" s="62">
        <f>SUM(B81,B82)</f>
        <v>0</v>
      </c>
      <c r="C83" s="62">
        <f t="shared" ref="C83:F83" si="3">SUM(C81,C82)</f>
        <v>0</v>
      </c>
      <c r="D83" s="62">
        <f t="shared" si="3"/>
        <v>0</v>
      </c>
      <c r="E83" s="62">
        <f t="shared" si="3"/>
        <v>0</v>
      </c>
      <c r="F83" s="62">
        <f t="shared" si="3"/>
        <v>0</v>
      </c>
      <c r="G83" s="53">
        <f t="shared" si="2"/>
        <v>0</v>
      </c>
      <c r="H83" s="36"/>
    </row>
    <row r="84" spans="1:12" hidden="1" x14ac:dyDescent="0.25">
      <c r="C84" s="39"/>
      <c r="D84" s="39"/>
      <c r="E84" s="39"/>
      <c r="H84" s="36"/>
    </row>
    <row r="85" spans="1:12" hidden="1" x14ac:dyDescent="0.25">
      <c r="A85" s="7" t="s">
        <v>116</v>
      </c>
      <c r="B85" s="7">
        <v>2015</v>
      </c>
      <c r="C85" s="7">
        <v>2016</v>
      </c>
      <c r="D85" s="7">
        <v>2017</v>
      </c>
      <c r="E85" s="7">
        <v>2018</v>
      </c>
      <c r="F85" s="37">
        <v>2019</v>
      </c>
      <c r="G85" s="37">
        <v>2020</v>
      </c>
      <c r="H85" s="37">
        <v>2021</v>
      </c>
      <c r="I85" s="37">
        <v>2022</v>
      </c>
      <c r="J85" s="37">
        <v>2023</v>
      </c>
      <c r="K85" s="37">
        <v>2024</v>
      </c>
      <c r="L85" s="37">
        <v>2025</v>
      </c>
    </row>
    <row r="86" spans="1:12" hidden="1" x14ac:dyDescent="0.25">
      <c r="A86" s="7" t="s">
        <v>101</v>
      </c>
      <c r="B86" s="39" t="str">
        <f>B81</f>
        <v>enter data</v>
      </c>
      <c r="C86" s="39" t="str">
        <f>C81</f>
        <v>enter data</v>
      </c>
      <c r="D86" s="39" t="str">
        <f>D81</f>
        <v>enter data</v>
      </c>
      <c r="E86" s="39" t="str">
        <f>E81</f>
        <v>enter data</v>
      </c>
      <c r="F86" s="39" t="str">
        <f>F81</f>
        <v>enter data</v>
      </c>
      <c r="G86" s="39"/>
      <c r="H86" s="39"/>
      <c r="I86" s="39"/>
      <c r="J86" s="39"/>
      <c r="K86" s="39"/>
      <c r="L86" s="39"/>
    </row>
    <row r="87" spans="1:12" hidden="1" x14ac:dyDescent="0.25">
      <c r="A87" s="7" t="s">
        <v>101</v>
      </c>
      <c r="D87" s="39"/>
      <c r="E87" s="39"/>
      <c r="F87" s="39" t="str">
        <f>F86</f>
        <v>enter data</v>
      </c>
      <c r="G87" s="39" t="e">
        <f>F87*(1+$G$81)*(1+VLOOKUP($B$7,$A$121:$E$125,2,FALSE))</f>
        <v>#VALUE!</v>
      </c>
      <c r="H87" s="39" t="e">
        <f>G87*(1+$G$81)</f>
        <v>#VALUE!</v>
      </c>
      <c r="I87" s="39" t="e">
        <f>H87*(1+$G$81)</f>
        <v>#VALUE!</v>
      </c>
      <c r="J87" s="39" t="e">
        <f>I87*(1+$G$81)</f>
        <v>#VALUE!</v>
      </c>
      <c r="K87" s="39" t="e">
        <f>J87*(1+$G$81)</f>
        <v>#VALUE!</v>
      </c>
      <c r="L87" s="39" t="e">
        <f>K87*(1+$G$81)</f>
        <v>#VALUE!</v>
      </c>
    </row>
    <row r="88" spans="1:12" hidden="1" x14ac:dyDescent="0.25">
      <c r="A88" s="7" t="s">
        <v>102</v>
      </c>
      <c r="B88" s="39">
        <f>B82</f>
        <v>0</v>
      </c>
      <c r="C88" s="39">
        <f>C82</f>
        <v>0</v>
      </c>
      <c r="D88" s="39">
        <f>D82</f>
        <v>0</v>
      </c>
      <c r="E88" s="39">
        <f>E82</f>
        <v>0</v>
      </c>
      <c r="F88" s="39">
        <f>F82</f>
        <v>0</v>
      </c>
      <c r="G88" s="39"/>
      <c r="H88" s="39"/>
      <c r="I88" s="39"/>
      <c r="J88" s="39"/>
      <c r="K88" s="39"/>
      <c r="L88" s="39"/>
    </row>
    <row r="89" spans="1:12" hidden="1" x14ac:dyDescent="0.25">
      <c r="A89" s="7" t="s">
        <v>102</v>
      </c>
      <c r="B89" s="39"/>
      <c r="C89" s="39"/>
      <c r="D89" s="39"/>
      <c r="E89" s="39"/>
      <c r="F89" s="39">
        <f>SUM(F102*F117,F103*F118)</f>
        <v>0</v>
      </c>
      <c r="G89" s="39" t="e">
        <f>SUM(G102*G117,G103*G118)</f>
        <v>#VALUE!</v>
      </c>
      <c r="H89" s="39" t="e">
        <f>SUM(H102*H117,H103*H118)</f>
        <v>#VALUE!</v>
      </c>
      <c r="I89" s="39" t="e">
        <f t="shared" ref="I89:L89" si="4">SUM(I102*I117,I103*I118)</f>
        <v>#VALUE!</v>
      </c>
      <c r="J89" s="39" t="e">
        <f t="shared" si="4"/>
        <v>#VALUE!</v>
      </c>
      <c r="K89" s="39" t="e">
        <f t="shared" si="4"/>
        <v>#VALUE!</v>
      </c>
      <c r="L89" s="39" t="e">
        <f t="shared" si="4"/>
        <v>#VALUE!</v>
      </c>
    </row>
    <row r="90" spans="1:12" hidden="1" x14ac:dyDescent="0.25">
      <c r="A90" s="7" t="s">
        <v>119</v>
      </c>
      <c r="B90" s="39">
        <f>B83</f>
        <v>0</v>
      </c>
      <c r="C90" s="39">
        <f>C83</f>
        <v>0</v>
      </c>
      <c r="D90" s="39">
        <f>D83</f>
        <v>0</v>
      </c>
      <c r="E90" s="39">
        <f>E83</f>
        <v>0</v>
      </c>
      <c r="F90" s="39">
        <f>F83</f>
        <v>0</v>
      </c>
      <c r="G90" s="39"/>
      <c r="H90" s="39"/>
      <c r="I90" s="39"/>
      <c r="J90" s="39"/>
      <c r="K90" s="39"/>
      <c r="L90" s="39"/>
    </row>
    <row r="91" spans="1:12" hidden="1" x14ac:dyDescent="0.25">
      <c r="A91" s="7" t="s">
        <v>119</v>
      </c>
      <c r="D91" s="39"/>
      <c r="E91" s="39">
        <f>E83</f>
        <v>0</v>
      </c>
      <c r="F91" s="39">
        <f>SUM(F87,F89)</f>
        <v>0</v>
      </c>
      <c r="G91" s="39" t="e">
        <f t="shared" ref="G91:L91" si="5">SUM(G87,G89)</f>
        <v>#VALUE!</v>
      </c>
      <c r="H91" s="39" t="e">
        <f t="shared" si="5"/>
        <v>#VALUE!</v>
      </c>
      <c r="I91" s="39" t="e">
        <f t="shared" si="5"/>
        <v>#VALUE!</v>
      </c>
      <c r="J91" s="39" t="e">
        <f t="shared" si="5"/>
        <v>#VALUE!</v>
      </c>
      <c r="K91" s="39" t="e">
        <f t="shared" si="5"/>
        <v>#VALUE!</v>
      </c>
      <c r="L91" s="39" t="e">
        <f t="shared" si="5"/>
        <v>#VALUE!</v>
      </c>
    </row>
    <row r="92" spans="1:12" hidden="1" x14ac:dyDescent="0.25">
      <c r="A92" s="7" t="s">
        <v>103</v>
      </c>
      <c r="C92" s="39"/>
      <c r="E92" s="39"/>
      <c r="F92" s="39"/>
      <c r="G92" s="39" t="e">
        <f>((G100-G102)*$G$113*2900)+((G100-G102)*(1-$G$113)*917)+(G102*G117*0.8)</f>
        <v>#VALUE!</v>
      </c>
      <c r="H92" s="39" t="e">
        <f>((H100-(ROUND(H100*H104,0)))*$G$113*2900)+((H100-(ROUND(H100*H104,0)))*(1-$G$113)*917)+(ROUND(H100*H104,0)*H117*0.8)</f>
        <v>#VALUE!</v>
      </c>
      <c r="I92" s="39" t="e">
        <f t="shared" ref="I92:L92" si="6">((I100-(ROUND(I100*I104,0)))*$G$113*2900)+((I100-(ROUND(I100*I104,0)))*(1-$G$113)*917)+(ROUND(I100*I104,0)*I117*0.8)</f>
        <v>#VALUE!</v>
      </c>
      <c r="J92" s="39" t="e">
        <f t="shared" si="6"/>
        <v>#VALUE!</v>
      </c>
      <c r="K92" s="39" t="e">
        <f t="shared" si="6"/>
        <v>#VALUE!</v>
      </c>
      <c r="L92" s="39" t="e">
        <f t="shared" si="6"/>
        <v>#VALUE!</v>
      </c>
    </row>
    <row r="93" spans="1:12" hidden="1" x14ac:dyDescent="0.25">
      <c r="A93" s="7" t="s">
        <v>120</v>
      </c>
      <c r="E93" s="39"/>
      <c r="F93" s="39"/>
      <c r="G93" s="39" t="e">
        <f>G91-G92</f>
        <v>#VALUE!</v>
      </c>
      <c r="H93" s="39" t="e">
        <f t="shared" ref="H93:L93" si="7">H91-H92</f>
        <v>#VALUE!</v>
      </c>
      <c r="I93" s="39" t="e">
        <f t="shared" si="7"/>
        <v>#VALUE!</v>
      </c>
      <c r="J93" s="39" t="e">
        <f t="shared" si="7"/>
        <v>#VALUE!</v>
      </c>
      <c r="K93" s="39" t="e">
        <f t="shared" si="7"/>
        <v>#VALUE!</v>
      </c>
      <c r="L93" s="39" t="e">
        <f t="shared" si="7"/>
        <v>#VALUE!</v>
      </c>
    </row>
    <row r="94" spans="1:12" hidden="1" x14ac:dyDescent="0.25"/>
    <row r="95" spans="1:12" hidden="1" x14ac:dyDescent="0.25">
      <c r="B95" s="7">
        <v>2015</v>
      </c>
      <c r="C95" s="7">
        <v>2016</v>
      </c>
      <c r="D95" s="7">
        <v>2017</v>
      </c>
      <c r="E95" s="7">
        <v>2019</v>
      </c>
      <c r="F95" s="37">
        <v>2020</v>
      </c>
      <c r="G95" s="37">
        <v>2020</v>
      </c>
      <c r="H95" s="37">
        <v>2021</v>
      </c>
      <c r="I95" s="37">
        <v>2022</v>
      </c>
      <c r="J95" s="37">
        <v>2023</v>
      </c>
      <c r="K95" s="37">
        <v>2024</v>
      </c>
      <c r="L95" s="37">
        <v>2025</v>
      </c>
    </row>
    <row r="96" spans="1:12" hidden="1" x14ac:dyDescent="0.25">
      <c r="A96" s="7" t="s">
        <v>121</v>
      </c>
      <c r="B96" s="1">
        <v>0</v>
      </c>
      <c r="C96" s="1">
        <v>0</v>
      </c>
      <c r="D96" s="1">
        <v>0</v>
      </c>
      <c r="E96" s="1">
        <v>0</v>
      </c>
      <c r="F96" s="39">
        <f>F92</f>
        <v>0</v>
      </c>
      <c r="G96" s="39" t="e">
        <f>G92</f>
        <v>#VALUE!</v>
      </c>
      <c r="H96" s="39" t="e">
        <f t="shared" ref="H96:L96" si="8">H92</f>
        <v>#VALUE!</v>
      </c>
      <c r="I96" s="39" t="e">
        <f t="shared" si="8"/>
        <v>#VALUE!</v>
      </c>
      <c r="J96" s="39" t="e">
        <f t="shared" si="8"/>
        <v>#VALUE!</v>
      </c>
      <c r="K96" s="39" t="e">
        <f t="shared" si="8"/>
        <v>#VALUE!</v>
      </c>
      <c r="L96" s="39" t="e">
        <f t="shared" si="8"/>
        <v>#VALUE!</v>
      </c>
    </row>
    <row r="97" spans="1:14" hidden="1" x14ac:dyDescent="0.25">
      <c r="A97" s="7" t="s">
        <v>122</v>
      </c>
      <c r="B97" s="1">
        <v>0</v>
      </c>
      <c r="C97" s="1">
        <v>0</v>
      </c>
      <c r="D97" s="1">
        <v>0</v>
      </c>
      <c r="E97" s="1">
        <v>0</v>
      </c>
      <c r="F97" s="39">
        <f t="shared" ref="F97:L97" si="9">F93-F94</f>
        <v>0</v>
      </c>
      <c r="G97" s="39" t="e">
        <f t="shared" si="9"/>
        <v>#VALUE!</v>
      </c>
      <c r="H97" s="39" t="e">
        <f t="shared" si="9"/>
        <v>#VALUE!</v>
      </c>
      <c r="I97" s="39" t="e">
        <f t="shared" si="9"/>
        <v>#VALUE!</v>
      </c>
      <c r="J97" s="39" t="e">
        <f t="shared" si="9"/>
        <v>#VALUE!</v>
      </c>
      <c r="K97" s="39" t="e">
        <f t="shared" si="9"/>
        <v>#VALUE!</v>
      </c>
      <c r="L97" s="39" t="e">
        <f t="shared" si="9"/>
        <v>#VALUE!</v>
      </c>
    </row>
    <row r="98" spans="1:14" hidden="1" x14ac:dyDescent="0.25"/>
    <row r="99" spans="1:14" hidden="1" x14ac:dyDescent="0.25">
      <c r="A99" s="7" t="s">
        <v>112</v>
      </c>
      <c r="B99" s="7">
        <v>2015</v>
      </c>
      <c r="C99" s="7">
        <v>2016</v>
      </c>
      <c r="D99" s="7">
        <v>2017</v>
      </c>
      <c r="E99" s="7">
        <v>2018</v>
      </c>
      <c r="F99" s="37">
        <v>2019</v>
      </c>
      <c r="G99" s="37">
        <v>2020</v>
      </c>
      <c r="H99" s="37">
        <v>2021</v>
      </c>
      <c r="I99" s="37">
        <v>2022</v>
      </c>
      <c r="J99" s="37">
        <v>2023</v>
      </c>
      <c r="K99" s="37">
        <v>2024</v>
      </c>
      <c r="L99" s="37">
        <v>2025</v>
      </c>
    </row>
    <row r="100" spans="1:14" hidden="1" x14ac:dyDescent="0.25">
      <c r="A100" s="7" t="s">
        <v>106</v>
      </c>
      <c r="B100" s="1">
        <f t="shared" ref="B100:D100" si="10">B75</f>
        <v>0</v>
      </c>
      <c r="C100" s="1">
        <f t="shared" si="10"/>
        <v>0</v>
      </c>
      <c r="D100" s="1">
        <f t="shared" si="10"/>
        <v>0</v>
      </c>
      <c r="E100" s="1">
        <f>E75</f>
        <v>0</v>
      </c>
      <c r="F100" s="1">
        <f>F75</f>
        <v>0</v>
      </c>
      <c r="G100" s="63" t="e">
        <f>SUM(G109:G111)</f>
        <v>#VALUE!</v>
      </c>
      <c r="H100" s="64">
        <f>ROUND(F100*(1+$G$75)^2,0)</f>
        <v>0</v>
      </c>
      <c r="I100" s="64">
        <f>ROUND(H100*(1+$G$75),0)</f>
        <v>0</v>
      </c>
      <c r="J100" s="64">
        <f>ROUND(I100*(1+$G$75),0)</f>
        <v>0</v>
      </c>
      <c r="K100" s="64">
        <f>ROUND(J100*(1+$G$75),0)</f>
        <v>0</v>
      </c>
      <c r="L100" s="64">
        <f>ROUND(K100*(1+$G$75),0)</f>
        <v>0</v>
      </c>
    </row>
    <row r="101" spans="1:14" hidden="1" x14ac:dyDescent="0.25">
      <c r="A101" s="7" t="s">
        <v>123</v>
      </c>
      <c r="B101" s="1">
        <f t="shared" ref="B101:D101" si="11">B100-SUM(B102:B103)</f>
        <v>0</v>
      </c>
      <c r="C101" s="1">
        <f t="shared" si="11"/>
        <v>0</v>
      </c>
      <c r="D101" s="1">
        <f t="shared" si="11"/>
        <v>0</v>
      </c>
      <c r="E101" s="1">
        <f>E100-SUM(E102:E103)</f>
        <v>0</v>
      </c>
      <c r="F101" s="1">
        <f>F100-SUM(F102:F103)</f>
        <v>0</v>
      </c>
      <c r="G101" s="65" t="e">
        <f>G100-SUM(G102:G103)</f>
        <v>#VALUE!</v>
      </c>
      <c r="H101" s="1" t="e">
        <f t="shared" ref="H101:L101" si="12">H100-SUM(H102:H103)</f>
        <v>#VALUE!</v>
      </c>
      <c r="I101" s="1" t="e">
        <f t="shared" si="12"/>
        <v>#VALUE!</v>
      </c>
      <c r="J101" s="1" t="e">
        <f t="shared" si="12"/>
        <v>#VALUE!</v>
      </c>
      <c r="K101" s="1" t="e">
        <f t="shared" si="12"/>
        <v>#VALUE!</v>
      </c>
      <c r="L101" s="1" t="e">
        <f t="shared" si="12"/>
        <v>#VALUE!</v>
      </c>
      <c r="N101" s="66"/>
    </row>
    <row r="102" spans="1:14" hidden="1" x14ac:dyDescent="0.25">
      <c r="A102" s="7" t="s">
        <v>89</v>
      </c>
      <c r="B102" s="64">
        <f t="shared" ref="B102:D103" si="13">B76</f>
        <v>0</v>
      </c>
      <c r="C102" s="64">
        <f t="shared" si="13"/>
        <v>0</v>
      </c>
      <c r="D102" s="64">
        <f t="shared" si="13"/>
        <v>0</v>
      </c>
      <c r="E102" s="64">
        <f t="shared" ref="E102:E103" si="14">E76</f>
        <v>0</v>
      </c>
      <c r="F102" s="64">
        <f t="shared" ref="F102:F103" si="15">F76</f>
        <v>0</v>
      </c>
      <c r="G102" s="63" t="e">
        <f>G111</f>
        <v>#VALUE!</v>
      </c>
      <c r="H102" s="64" t="e">
        <f>MIN(IF(VLOOKUP($B$7,$A$120:$E$125,3,FALSE)="original",ROUND(H100*H104,0),IF(VLOOKUP($B$7,$A$120:$E$125,3,FALSE)="gradual",ROUND(G102*(1+INDEX($B$129:$G$129,COLUMN()-6)),0),ROUND(G102*(1+VLOOKUP($B$7,$A$120:$E$125,4,FALSE)),0))),H100)</f>
        <v>#VALUE!</v>
      </c>
      <c r="I102" s="64" t="e">
        <f t="shared" ref="I102:L102" si="16">MIN(IF(VLOOKUP($B$7,$A$120:$E$125,3,FALSE)="original",ROUND(I100*I104,0),IF(VLOOKUP($B$7,$A$120:$E$125,3,FALSE)="gradual",ROUND(H102*(1+INDEX($B$129:$G$129,COLUMN()-6)),0),ROUND(H102*(1+VLOOKUP($B$7,$A$120:$E$125,4,FALSE)),0))),I100)</f>
        <v>#VALUE!</v>
      </c>
      <c r="J102" s="64" t="e">
        <f t="shared" si="16"/>
        <v>#VALUE!</v>
      </c>
      <c r="K102" s="64" t="e">
        <f t="shared" si="16"/>
        <v>#VALUE!</v>
      </c>
      <c r="L102" s="64" t="e">
        <f t="shared" si="16"/>
        <v>#VALUE!</v>
      </c>
      <c r="N102" s="66"/>
    </row>
    <row r="103" spans="1:14" hidden="1" x14ac:dyDescent="0.25">
      <c r="A103" s="7" t="s">
        <v>90</v>
      </c>
      <c r="B103" s="64">
        <f t="shared" si="13"/>
        <v>0</v>
      </c>
      <c r="C103" s="64">
        <f t="shared" si="13"/>
        <v>0</v>
      </c>
      <c r="D103" s="64">
        <f t="shared" si="13"/>
        <v>0</v>
      </c>
      <c r="E103" s="64">
        <f t="shared" si="14"/>
        <v>0</v>
      </c>
      <c r="F103" s="64">
        <f t="shared" si="15"/>
        <v>0</v>
      </c>
      <c r="G103" s="63" t="e">
        <f>MIN(IF(VLOOKUP($B$7,$A$120:$E$125,3,FALSE)=1,G100-G102,IF(VLOOKUP($B$7,$A$120:$E$125,3,FALSE)="gradual",ROUND(F103*(1+INDEX($B$129:$G$129,COLUMN()-6)),0),ROUND(G109*G105,0))),G100-G102)</f>
        <v>#VALUE!</v>
      </c>
      <c r="H103" s="64" t="e">
        <f>MIN(IF(VLOOKUP($B$7,$A$120:$E$125,3,FALSE)="original",ROUND((H100-H102)*H105,0),IF(VLOOKUP($B$7,$A$120:$E$125,3,FALSE)="gradual",ROUND(G103*(1+INDEX($B$129:$G$129,COLUMN()-6)),0),ROUND((H100-(H100*H104)),0))),H100-H102)</f>
        <v>#VALUE!</v>
      </c>
      <c r="I103" s="64" t="e">
        <f t="shared" ref="I103:L103" si="17">MIN(IF(VLOOKUP($B$7,$A$120:$E$125,3,FALSE)="original",ROUND((I100-I102)*I105,0),IF(VLOOKUP($B$7,$A$120:$E$125,3,FALSE)="gradual",ROUND(H103*(1+INDEX($B$129:$G$129,COLUMN()-6)),0),ROUND((I100-(I100*I104)),0))),I100-I102)</f>
        <v>#VALUE!</v>
      </c>
      <c r="J103" s="64" t="e">
        <f t="shared" si="17"/>
        <v>#VALUE!</v>
      </c>
      <c r="K103" s="64" t="e">
        <f t="shared" si="17"/>
        <v>#VALUE!</v>
      </c>
      <c r="L103" s="64" t="e">
        <f t="shared" si="17"/>
        <v>#VALUE!</v>
      </c>
    </row>
    <row r="104" spans="1:14" hidden="1" x14ac:dyDescent="0.25">
      <c r="A104" s="7" t="s">
        <v>124</v>
      </c>
      <c r="B104" s="67">
        <f>IFERROR(B102/B100,0)</f>
        <v>0</v>
      </c>
      <c r="C104" s="67" t="e">
        <f t="shared" ref="C104:G104" si="18">C102/C100</f>
        <v>#DIV/0!</v>
      </c>
      <c r="D104" s="67" t="e">
        <f t="shared" si="18"/>
        <v>#DIV/0!</v>
      </c>
      <c r="E104" s="67" t="e">
        <f t="shared" si="18"/>
        <v>#DIV/0!</v>
      </c>
      <c r="F104" s="67" t="e">
        <f t="shared" si="18"/>
        <v>#DIV/0!</v>
      </c>
      <c r="G104" s="67" t="e">
        <f t="shared" si="18"/>
        <v>#VALUE!</v>
      </c>
      <c r="H104" s="67" t="e">
        <f>Methodology!J24*$G$114</f>
        <v>#VALUE!</v>
      </c>
      <c r="I104" s="67" t="e">
        <f>Methodology!K24*$G$114</f>
        <v>#VALUE!</v>
      </c>
      <c r="J104" s="67" t="e">
        <f>Methodology!L24*$G$114</f>
        <v>#VALUE!</v>
      </c>
      <c r="K104" s="67" t="e">
        <f>Methodology!M24*$G$114</f>
        <v>#VALUE!</v>
      </c>
      <c r="L104" s="67" t="e">
        <f>Methodology!N24*$G$114</f>
        <v>#VALUE!</v>
      </c>
    </row>
    <row r="105" spans="1:14" hidden="1" x14ac:dyDescent="0.25">
      <c r="A105" s="7" t="s">
        <v>125</v>
      </c>
      <c r="B105" s="67" t="e">
        <f>B103/(B100-B102)</f>
        <v>#DIV/0!</v>
      </c>
      <c r="C105" s="67" t="e">
        <f t="shared" ref="C105:F105" si="19">C103/(C100-C102)</f>
        <v>#DIV/0!</v>
      </c>
      <c r="D105" s="67" t="e">
        <f t="shared" si="19"/>
        <v>#DIV/0!</v>
      </c>
      <c r="E105" s="67" t="e">
        <f t="shared" si="19"/>
        <v>#DIV/0!</v>
      </c>
      <c r="F105" s="67" t="e">
        <f t="shared" si="19"/>
        <v>#DIV/0!</v>
      </c>
      <c r="G105" s="67" t="e">
        <f>Methodology!I25*($F$105/Methodology!$G$25)</f>
        <v>#DIV/0!</v>
      </c>
      <c r="H105" s="67" t="e">
        <f>Methodology!J25*($F$105/Methodology!$G$25)</f>
        <v>#DIV/0!</v>
      </c>
      <c r="I105" s="67" t="e">
        <f>Methodology!K25*($F$105/Methodology!$G$25)</f>
        <v>#DIV/0!</v>
      </c>
      <c r="J105" s="67" t="e">
        <f>Methodology!L25*($F$105/Methodology!$G$25)</f>
        <v>#DIV/0!</v>
      </c>
      <c r="K105" s="67" t="e">
        <f>Methodology!M25*($F$105/Methodology!$G$25)</f>
        <v>#DIV/0!</v>
      </c>
      <c r="L105" s="67" t="e">
        <f>Methodology!N25*($F$105/Methodology!$G$25)</f>
        <v>#DIV/0!</v>
      </c>
    </row>
    <row r="106" spans="1:14" hidden="1" x14ac:dyDescent="0.25">
      <c r="A106" s="7" t="s">
        <v>126</v>
      </c>
      <c r="B106" s="68" t="e">
        <f t="shared" ref="B106:L106" si="20">(B102+B103)/B100</f>
        <v>#DIV/0!</v>
      </c>
      <c r="C106" s="68" t="e">
        <f t="shared" si="20"/>
        <v>#DIV/0!</v>
      </c>
      <c r="D106" s="68" t="e">
        <f t="shared" si="20"/>
        <v>#DIV/0!</v>
      </c>
      <c r="E106" s="68" t="e">
        <f t="shared" si="20"/>
        <v>#DIV/0!</v>
      </c>
      <c r="F106" s="68" t="e">
        <f t="shared" si="20"/>
        <v>#DIV/0!</v>
      </c>
      <c r="G106" s="68" t="e">
        <f t="shared" si="20"/>
        <v>#VALUE!</v>
      </c>
      <c r="H106" s="68" t="e">
        <f t="shared" si="20"/>
        <v>#VALUE!</v>
      </c>
      <c r="I106" s="68" t="e">
        <f t="shared" si="20"/>
        <v>#VALUE!</v>
      </c>
      <c r="J106" s="68" t="e">
        <f t="shared" si="20"/>
        <v>#VALUE!</v>
      </c>
      <c r="K106" s="68" t="e">
        <f t="shared" si="20"/>
        <v>#VALUE!</v>
      </c>
      <c r="L106" s="68" t="e">
        <f t="shared" si="20"/>
        <v>#VALUE!</v>
      </c>
    </row>
    <row r="107" spans="1:14" hidden="1" x14ac:dyDescent="0.25">
      <c r="A107" s="7" t="s">
        <v>127</v>
      </c>
      <c r="B107" s="68" t="e">
        <f t="shared" ref="B107:L107" si="21">B101/B100</f>
        <v>#DIV/0!</v>
      </c>
      <c r="C107" s="68" t="e">
        <f t="shared" si="21"/>
        <v>#DIV/0!</v>
      </c>
      <c r="D107" s="68" t="e">
        <f t="shared" si="21"/>
        <v>#DIV/0!</v>
      </c>
      <c r="E107" s="68" t="e">
        <f t="shared" si="21"/>
        <v>#DIV/0!</v>
      </c>
      <c r="F107" s="68" t="e">
        <f t="shared" si="21"/>
        <v>#DIV/0!</v>
      </c>
      <c r="G107" s="68" t="e">
        <f t="shared" si="21"/>
        <v>#VALUE!</v>
      </c>
      <c r="H107" s="68" t="e">
        <f t="shared" si="21"/>
        <v>#VALUE!</v>
      </c>
      <c r="I107" s="68" t="e">
        <f t="shared" si="21"/>
        <v>#VALUE!</v>
      </c>
      <c r="J107" s="68" t="e">
        <f t="shared" si="21"/>
        <v>#VALUE!</v>
      </c>
      <c r="K107" s="68" t="e">
        <f t="shared" si="21"/>
        <v>#VALUE!</v>
      </c>
      <c r="L107" s="68" t="e">
        <f t="shared" si="21"/>
        <v>#VALUE!</v>
      </c>
    </row>
    <row r="108" spans="1:14" hidden="1" x14ac:dyDescent="0.25"/>
    <row r="109" spans="1:14" hidden="1" x14ac:dyDescent="0.25">
      <c r="A109" s="7" t="s">
        <v>128</v>
      </c>
      <c r="G109" s="65" t="str">
        <f>Settings!C32</f>
        <v>enter data</v>
      </c>
    </row>
    <row r="110" spans="1:14" hidden="1" x14ac:dyDescent="0.25">
      <c r="A110" s="7" t="s">
        <v>129</v>
      </c>
      <c r="G110" s="65" t="str">
        <f>Settings!C33</f>
        <v>enter data</v>
      </c>
    </row>
    <row r="111" spans="1:14" hidden="1" x14ac:dyDescent="0.25">
      <c r="A111" s="7" t="s">
        <v>130</v>
      </c>
      <c r="G111" s="65" t="e">
        <f>Settings!C34*2.4</f>
        <v>#VALUE!</v>
      </c>
    </row>
    <row r="112" spans="1:14" hidden="1" x14ac:dyDescent="0.25"/>
    <row r="113" spans="1:16" hidden="1" x14ac:dyDescent="0.25">
      <c r="A113" s="7" t="s">
        <v>131</v>
      </c>
      <c r="G113" s="1" t="e">
        <f>G109/(G110+G109)</f>
        <v>#VALUE!</v>
      </c>
    </row>
    <row r="114" spans="1:16" hidden="1" x14ac:dyDescent="0.25">
      <c r="A114" s="7" t="s">
        <v>132</v>
      </c>
      <c r="G114" s="1" t="e">
        <f>(G111/SUM(G109:G111))/Methodology!I24</f>
        <v>#VALUE!</v>
      </c>
    </row>
    <row r="115" spans="1:16" hidden="1" x14ac:dyDescent="0.25"/>
    <row r="116" spans="1:16" hidden="1" x14ac:dyDescent="0.25">
      <c r="A116" s="7" t="s">
        <v>133</v>
      </c>
      <c r="B116" s="7">
        <f>Methodology!C36</f>
        <v>2015</v>
      </c>
      <c r="C116" s="7">
        <f>Methodology!D36</f>
        <v>2016</v>
      </c>
      <c r="D116" s="7">
        <f>Methodology!E36</f>
        <v>2017</v>
      </c>
      <c r="E116" s="7">
        <f>Methodology!F36</f>
        <v>2018</v>
      </c>
      <c r="F116" s="7">
        <f>Methodology!G36</f>
        <v>2019</v>
      </c>
      <c r="G116" s="7">
        <f>Methodology!I36</f>
        <v>2020</v>
      </c>
      <c r="H116" s="7">
        <f>Methodology!J36</f>
        <v>2021</v>
      </c>
      <c r="I116" s="7">
        <f>Methodology!K36</f>
        <v>2022</v>
      </c>
      <c r="J116" s="7">
        <f>Methodology!L36</f>
        <v>2023</v>
      </c>
      <c r="K116" s="7">
        <f>Methodology!M36</f>
        <v>2024</v>
      </c>
      <c r="L116" s="7">
        <f>Methodology!N36</f>
        <v>2025</v>
      </c>
    </row>
    <row r="117" spans="1:16" hidden="1" x14ac:dyDescent="0.25">
      <c r="A117" s="7" t="s">
        <v>134</v>
      </c>
      <c r="B117" s="39">
        <f>Methodology!C37</f>
        <v>1883.6157996146435</v>
      </c>
      <c r="C117" s="39">
        <f>Methodology!D37</f>
        <v>1837.7608554763449</v>
      </c>
      <c r="D117" s="39">
        <f>Methodology!E37</f>
        <v>1821.6481690140845</v>
      </c>
      <c r="E117" s="39">
        <f>Methodology!F37</f>
        <v>1960.7266065388951</v>
      </c>
      <c r="F117" s="39">
        <f>Methodology!G37</f>
        <v>1994.3940282591309</v>
      </c>
      <c r="G117" s="39">
        <f>Methodology!I37</f>
        <v>2049.5174541584715</v>
      </c>
      <c r="H117" s="39">
        <f>Methodology!J37</f>
        <v>2106.1644466348403</v>
      </c>
      <c r="I117" s="39">
        <f>Methodology!K37</f>
        <v>2164.377115827017</v>
      </c>
      <c r="J117" s="39">
        <f>Methodology!L37</f>
        <v>2224.1987357637054</v>
      </c>
      <c r="K117" s="39">
        <f>Methodology!M37</f>
        <v>2285.6737765325033</v>
      </c>
      <c r="L117" s="39">
        <f>Methodology!N37</f>
        <v>2348.8479373379955</v>
      </c>
    </row>
    <row r="118" spans="1:16" hidden="1" x14ac:dyDescent="0.25">
      <c r="A118" s="7" t="s">
        <v>135</v>
      </c>
      <c r="B118" s="39">
        <f>Methodology!C38</f>
        <v>2385.5239999999999</v>
      </c>
      <c r="C118" s="39">
        <f>Methodology!D38</f>
        <v>2298.549912434326</v>
      </c>
      <c r="D118" s="39">
        <f>Methodology!E38</f>
        <v>2409.8205546492659</v>
      </c>
      <c r="E118" s="39">
        <f>Methodology!F38</f>
        <v>2419.4797202797204</v>
      </c>
      <c r="F118" s="39">
        <f>Methodology!G38</f>
        <v>2578.5919037199124</v>
      </c>
      <c r="G118" s="39">
        <f>Methodology!I38</f>
        <v>2679.3256806733148</v>
      </c>
      <c r="H118" s="39">
        <f>Methodology!J38</f>
        <v>2783.9946649794815</v>
      </c>
      <c r="I118" s="39">
        <f>Methodology!K38</f>
        <v>2892.7525871683069</v>
      </c>
      <c r="J118" s="39">
        <f>Methodology!L38</f>
        <v>3005.7591833174747</v>
      </c>
      <c r="K118" s="39">
        <f>Methodology!M38</f>
        <v>3123.1804296617088</v>
      </c>
      <c r="L118" s="39">
        <f>Methodology!N38</f>
        <v>3245.1887863671313</v>
      </c>
    </row>
    <row r="119" spans="1:16" hidden="1" x14ac:dyDescent="0.25">
      <c r="J119" s="71"/>
      <c r="K119" s="39"/>
      <c r="L119" s="39"/>
      <c r="M119" s="39"/>
      <c r="N119" s="39"/>
      <c r="O119" s="39"/>
      <c r="P119" s="39"/>
    </row>
    <row r="120" spans="1:16" hidden="1" x14ac:dyDescent="0.25">
      <c r="B120" s="1" t="s">
        <v>136</v>
      </c>
      <c r="C120" s="1" t="s">
        <v>137</v>
      </c>
      <c r="D120" s="1" t="s">
        <v>138</v>
      </c>
      <c r="E120" s="1" t="s">
        <v>139</v>
      </c>
    </row>
    <row r="121" spans="1:16" hidden="1" x14ac:dyDescent="0.25">
      <c r="A121" s="1" t="str">
        <f>Settings!B11</f>
        <v>Status quo (subscription-based system)</v>
      </c>
      <c r="B121" s="72">
        <v>0</v>
      </c>
      <c r="C121" s="67" t="s">
        <v>140</v>
      </c>
      <c r="D121" s="69" t="str">
        <f t="shared" ref="D121:D125" si="22">$G$76</f>
        <v>complete Step 1</v>
      </c>
      <c r="E121" s="69" t="str">
        <f t="shared" ref="E121:E125" si="23">$G$77</f>
        <v>complete Step 1</v>
      </c>
    </row>
    <row r="122" spans="1:16" hidden="1" x14ac:dyDescent="0.25">
      <c r="A122" s="1" t="str">
        <f>Settings!B12</f>
        <v>Access to all journals (40% increase in subscriptions)</v>
      </c>
      <c r="B122" s="72">
        <f>Settings!C24</f>
        <v>0.4</v>
      </c>
      <c r="C122" s="67" t="s">
        <v>140</v>
      </c>
      <c r="D122" s="69" t="str">
        <f t="shared" si="22"/>
        <v>complete Step 1</v>
      </c>
      <c r="E122" s="69" t="str">
        <f t="shared" si="23"/>
        <v>complete Step 1</v>
      </c>
    </row>
    <row r="123" spans="1:16" hidden="1" x14ac:dyDescent="0.25">
      <c r="A123" s="1" t="str">
        <f>Settings!B13</f>
        <v>70% Open Access by 2025 (BMBF target)</v>
      </c>
      <c r="B123" s="72">
        <v>0</v>
      </c>
      <c r="C123" s="67" t="s">
        <v>141</v>
      </c>
      <c r="D123" s="67"/>
      <c r="E123" s="67"/>
    </row>
    <row r="124" spans="1:16" hidden="1" x14ac:dyDescent="0.25">
      <c r="A124" s="1" t="str">
        <f>Settings!B14</f>
        <v>100% Open Access</v>
      </c>
      <c r="B124" s="72">
        <v>0</v>
      </c>
      <c r="C124" s="67">
        <v>1</v>
      </c>
      <c r="D124" s="69" t="str">
        <f t="shared" si="22"/>
        <v>complete Step 1</v>
      </c>
      <c r="E124" s="69" t="str">
        <f t="shared" si="23"/>
        <v>complete Step 1</v>
      </c>
    </row>
    <row r="125" spans="1:16" hidden="1" x14ac:dyDescent="0.25">
      <c r="A125" s="1" t="str">
        <f>Settings!B15</f>
        <v>100% OA and access to all journals</v>
      </c>
      <c r="B125" s="72">
        <f>Settings!C24</f>
        <v>0.4</v>
      </c>
      <c r="C125" s="67">
        <v>1</v>
      </c>
      <c r="D125" s="69" t="str">
        <f t="shared" si="22"/>
        <v>complete Step 1</v>
      </c>
      <c r="E125" s="69" t="str">
        <f t="shared" si="23"/>
        <v>complete Step 1</v>
      </c>
    </row>
    <row r="126" spans="1:16" hidden="1" x14ac:dyDescent="0.25"/>
    <row r="127" spans="1:16" hidden="1" x14ac:dyDescent="0.25"/>
    <row r="128" spans="1:16" hidden="1" x14ac:dyDescent="0.25">
      <c r="B128" s="37">
        <v>2020</v>
      </c>
      <c r="C128" s="37">
        <v>2021</v>
      </c>
      <c r="D128" s="37">
        <v>2022</v>
      </c>
      <c r="E128" s="37">
        <v>2023</v>
      </c>
      <c r="F128" s="37">
        <v>2024</v>
      </c>
      <c r="G128" s="37">
        <v>2025</v>
      </c>
    </row>
    <row r="129" spans="1:7" hidden="1" x14ac:dyDescent="0.25">
      <c r="A129" s="1" t="s">
        <v>142</v>
      </c>
      <c r="B129" s="69">
        <f>IFERROR(_xlfn.RRI(8-COLUMN(),SUM(F102:F103),$L$100*Settings!$C$25),0)</f>
        <v>0</v>
      </c>
      <c r="C129" s="69">
        <f>IFERROR(_xlfn.RRI(8-COLUMN(),SUM(G102:G103),$L$100*Settings!$C$25),0)</f>
        <v>0</v>
      </c>
      <c r="D129" s="69">
        <f>IFERROR(_xlfn.RRI(8-COLUMN(),SUM(H102:H103),$L$100*Settings!$C$25),0)</f>
        <v>0</v>
      </c>
      <c r="E129" s="69">
        <f>IFERROR(_xlfn.RRI(8-COLUMN(),SUM(I102:I103),$L$100*Settings!$C$25),0)</f>
        <v>0</v>
      </c>
      <c r="F129" s="69">
        <f>IFERROR(_xlfn.RRI(8-COLUMN(),SUM(J102:J103),$L$100*Settings!$C$25),0)</f>
        <v>0</v>
      </c>
      <c r="G129" s="69">
        <f>IFERROR(_xlfn.RRI(8-COLUMN(),SUM(K102:K103),$L$100*Settings!$C$25),0)</f>
        <v>0</v>
      </c>
    </row>
    <row r="130" spans="1:7" hidden="1" x14ac:dyDescent="0.25"/>
    <row r="131" spans="1:7" hidden="1" x14ac:dyDescent="0.25"/>
    <row r="132" spans="1:7" hidden="1" x14ac:dyDescent="0.25">
      <c r="A132" s="1" t="s">
        <v>143</v>
      </c>
    </row>
    <row r="133" spans="1:7" hidden="1" x14ac:dyDescent="0.25">
      <c r="A133" s="1">
        <v>2015</v>
      </c>
      <c r="B133" s="73" t="e">
        <f>E86*(1+B125)*((1+G81)^7)+(ROUND(L100*L104,0)*L117)+(ROUND((L100-(L100*L104)),0)*L118)</f>
        <v>#VALUE!</v>
      </c>
    </row>
    <row r="134" spans="1:7" hidden="1" x14ac:dyDescent="0.25"/>
    <row r="135" spans="1:7" hidden="1" x14ac:dyDescent="0.25"/>
    <row r="136" spans="1:7" hidden="1" x14ac:dyDescent="0.25">
      <c r="A136" s="1" t="s">
        <v>146</v>
      </c>
    </row>
    <row r="137" spans="1:7" hidden="1" x14ac:dyDescent="0.25">
      <c r="A137" s="23" t="b">
        <f>ISNUMBER(Settings!C56)</f>
        <v>0</v>
      </c>
      <c r="B137" s="23" t="b">
        <f>ISNUMBER(Settings!D56)</f>
        <v>0</v>
      </c>
      <c r="C137" s="23" t="b">
        <f>ISNUMBER(Settings!E56)</f>
        <v>0</v>
      </c>
      <c r="D137" s="23" t="b">
        <f>ISNUMBER(Settings!F56)</f>
        <v>0</v>
      </c>
      <c r="E137" s="23" t="b">
        <f>ISNUMBER(Settings!G56)</f>
        <v>0</v>
      </c>
      <c r="F137" s="23" t="b">
        <f>ISNUMBER(Settings!H56)</f>
        <v>0</v>
      </c>
    </row>
    <row r="138" spans="1:7" hidden="1" x14ac:dyDescent="0.25">
      <c r="A138" s="23" t="b">
        <f>ISNUMBER(Settings!C57)</f>
        <v>0</v>
      </c>
      <c r="B138" s="23" t="b">
        <f>ISNUMBER(Settings!D57)</f>
        <v>0</v>
      </c>
      <c r="C138" s="23" t="b">
        <f>ISNUMBER(Settings!E57)</f>
        <v>0</v>
      </c>
      <c r="D138" s="23" t="b">
        <f>ISNUMBER(Settings!F57)</f>
        <v>0</v>
      </c>
      <c r="E138" s="23" t="b">
        <f>ISNUMBER(Settings!G57)</f>
        <v>0</v>
      </c>
      <c r="F138" s="23" t="b">
        <f>ISNUMBER(Settings!H57)</f>
        <v>0</v>
      </c>
    </row>
    <row r="139" spans="1:7" hidden="1" x14ac:dyDescent="0.25">
      <c r="A139" s="23" t="b">
        <f>ISNUMBER(Settings!C58)</f>
        <v>0</v>
      </c>
      <c r="B139" s="23" t="b">
        <f>ISNUMBER(Settings!D58)</f>
        <v>0</v>
      </c>
      <c r="C139" s="23" t="b">
        <f>ISNUMBER(Settings!E58)</f>
        <v>0</v>
      </c>
      <c r="D139" s="23" t="b">
        <f>ISNUMBER(Settings!F58)</f>
        <v>0</v>
      </c>
      <c r="E139" s="23" t="b">
        <f>ISNUMBER(Settings!G58)</f>
        <v>0</v>
      </c>
      <c r="F139" s="23" t="b">
        <f>ISNUMBER(Settings!H58)</f>
        <v>0</v>
      </c>
    </row>
    <row r="140" spans="1:7" hidden="1" x14ac:dyDescent="0.25">
      <c r="A140" s="23"/>
      <c r="B140" s="23"/>
      <c r="C140" s="23"/>
      <c r="D140" s="23"/>
      <c r="E140" s="23"/>
      <c r="F140" s="23"/>
    </row>
    <row r="141" spans="1:7" hidden="1" x14ac:dyDescent="0.25">
      <c r="A141" s="76" t="b">
        <f>AND(A137:F139)</f>
        <v>0</v>
      </c>
      <c r="B141" s="23"/>
      <c r="C141" s="23"/>
      <c r="D141" s="23"/>
      <c r="E141" s="23"/>
      <c r="F141" s="23"/>
    </row>
    <row r="142" spans="1:7" hidden="1" x14ac:dyDescent="0.25"/>
    <row r="143" spans="1:7" hidden="1" x14ac:dyDescent="0.25"/>
    <row r="144" spans="1:7" hidden="1" x14ac:dyDescent="0.25">
      <c r="A144" s="1" t="s">
        <v>147</v>
      </c>
    </row>
    <row r="145" spans="1:6" hidden="1" x14ac:dyDescent="0.25">
      <c r="A145" s="23" t="b">
        <f>ISNUMBER(Settings!C39)</f>
        <v>0</v>
      </c>
      <c r="B145" s="23" t="b">
        <f>ISNUMBER(Settings!D39)</f>
        <v>0</v>
      </c>
      <c r="C145" s="23" t="b">
        <f>ISNUMBER(Settings!E39)</f>
        <v>0</v>
      </c>
      <c r="D145" s="23" t="b">
        <f>ISNUMBER(Settings!F39)</f>
        <v>0</v>
      </c>
      <c r="E145" s="23" t="b">
        <f>ISNUMBER(Settings!G39)</f>
        <v>0</v>
      </c>
      <c r="F145" s="23" t="b">
        <f>ISNUMBER(Settings!H39)</f>
        <v>0</v>
      </c>
    </row>
    <row r="146" spans="1:6" hidden="1" x14ac:dyDescent="0.25"/>
    <row r="147" spans="1:6" hidden="1" x14ac:dyDescent="0.25">
      <c r="A147" s="77" t="b">
        <f>AND(A145:F145)</f>
        <v>0</v>
      </c>
    </row>
    <row r="148" spans="1:6" hidden="1" x14ac:dyDescent="0.25"/>
    <row r="149" spans="1:6" hidden="1" x14ac:dyDescent="0.25">
      <c r="A149" s="1" t="s">
        <v>148</v>
      </c>
    </row>
    <row r="150" spans="1:6" hidden="1" x14ac:dyDescent="0.25">
      <c r="A150" s="1" t="b">
        <f>ISNUMBER(Settings!C32)</f>
        <v>0</v>
      </c>
    </row>
    <row r="151" spans="1:6" hidden="1" x14ac:dyDescent="0.25">
      <c r="A151" s="1" t="b">
        <f>ISNUMBER(Settings!C33)</f>
        <v>0</v>
      </c>
    </row>
    <row r="152" spans="1:6" hidden="1" x14ac:dyDescent="0.25">
      <c r="A152" s="1" t="b">
        <f>ISNUMBER(Settings!C34)</f>
        <v>0</v>
      </c>
    </row>
    <row r="153" spans="1:6" hidden="1" x14ac:dyDescent="0.25"/>
    <row r="154" spans="1:6" hidden="1" x14ac:dyDescent="0.25">
      <c r="A154" s="77" t="b">
        <f>AND(A150:A152)</f>
        <v>0</v>
      </c>
    </row>
    <row r="155" spans="1:6" hidden="1" x14ac:dyDescent="0.25"/>
    <row r="156" spans="1:6" hidden="1" x14ac:dyDescent="0.25">
      <c r="A156" s="1" t="s">
        <v>149</v>
      </c>
      <c r="B156" s="1" t="b">
        <f>AND(A147,A154)</f>
        <v>0</v>
      </c>
    </row>
    <row r="157" spans="1:6" hidden="1" x14ac:dyDescent="0.25">
      <c r="A157" s="1" t="s">
        <v>191</v>
      </c>
      <c r="B157" s="1" t="b">
        <f>AND(B156,A141)</f>
        <v>0</v>
      </c>
    </row>
    <row r="158" spans="1:6" hidden="1" x14ac:dyDescent="0.25"/>
    <row r="162" ht="13.9" customHeight="1" x14ac:dyDescent="0.25"/>
  </sheetData>
  <sheetProtection algorithmName="SHA-512" hashValue="9y/7PGFAxpUOcpcuZ9rl2C9YaTl/cQSs1+6aht0hT4SaTI0GGwRqs6uv/jZprRAdzNtnBC7EU2TMxSv4kq8dOQ==" saltValue="INTffQlNkk40q1DkA5tM2Q==" spinCount="100000" sheet="1" objects="1" scenarios="1" selectLockedCells="1"/>
  <mergeCells count="2">
    <mergeCell ref="A59:B59"/>
    <mergeCell ref="A73:G73"/>
  </mergeCells>
  <conditionalFormatting sqref="C61">
    <cfRule type="expression" priority="1">
      <formula>"WENN('Institutional Projections'!$A$141=FALSCH)"</formula>
    </cfRule>
    <cfRule type="expression" priority="2">
      <formula>"WENN('Institutional Projections'!$A$141=WAHR)"</formula>
    </cfRule>
  </conditionalFormatting>
  <pageMargins left="0.59055118110236249" right="0.19685039370078738" top="0.39370078740157477" bottom="0.39370078740157477" header="0" footer="0"/>
  <pageSetup paperSize="9" scale="6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Settings!$B$11:$B$15</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C3" sqref="C3"/>
    </sheetView>
  </sheetViews>
  <sheetFormatPr baseColWidth="10" defaultRowHeight="15" x14ac:dyDescent="0.25"/>
  <cols>
    <col min="1" max="1" width="23.140625" bestFit="1" customWidth="1"/>
  </cols>
  <sheetData>
    <row r="1" spans="1:13" x14ac:dyDescent="0.25">
      <c r="A1" s="78" t="s">
        <v>150</v>
      </c>
      <c r="B1" s="1" t="s">
        <v>167</v>
      </c>
      <c r="C1" s="1" t="s">
        <v>168</v>
      </c>
      <c r="D1" s="1" t="s">
        <v>169</v>
      </c>
      <c r="E1" s="1" t="s">
        <v>170</v>
      </c>
      <c r="H1" t="s">
        <v>182</v>
      </c>
    </row>
    <row r="2" spans="1:13" x14ac:dyDescent="0.25">
      <c r="A2" s="1" t="s">
        <v>99</v>
      </c>
      <c r="B2" s="39">
        <v>25740268.13000001</v>
      </c>
      <c r="C2" s="1">
        <v>9354</v>
      </c>
      <c r="D2" s="1">
        <v>882</v>
      </c>
      <c r="E2" s="1">
        <v>4428.0000000000009</v>
      </c>
      <c r="H2" t="s">
        <v>246</v>
      </c>
    </row>
    <row r="3" spans="1:13" x14ac:dyDescent="0.25">
      <c r="A3" s="83" t="s">
        <v>155</v>
      </c>
      <c r="B3" s="39">
        <v>3257120.4</v>
      </c>
      <c r="C3" s="1">
        <v>1259</v>
      </c>
      <c r="D3" s="1">
        <v>108</v>
      </c>
      <c r="E3" s="1">
        <v>532.79999999999995</v>
      </c>
    </row>
    <row r="4" spans="1:13" x14ac:dyDescent="0.25">
      <c r="A4" s="83" t="s">
        <v>152</v>
      </c>
      <c r="B4" s="39">
        <v>3684065.01</v>
      </c>
      <c r="C4" s="1">
        <v>1469</v>
      </c>
      <c r="D4" s="1">
        <v>108</v>
      </c>
      <c r="E4" s="1">
        <v>623.99999999999989</v>
      </c>
      <c r="I4" s="1" t="s">
        <v>249</v>
      </c>
      <c r="J4" s="1" t="s">
        <v>250</v>
      </c>
      <c r="K4" s="1"/>
      <c r="L4" s="1" t="s">
        <v>251</v>
      </c>
      <c r="M4" s="1" t="s">
        <v>252</v>
      </c>
    </row>
    <row r="5" spans="1:13" x14ac:dyDescent="0.25">
      <c r="A5" s="83" t="s">
        <v>157</v>
      </c>
      <c r="B5" s="39">
        <v>1312301.4400000002</v>
      </c>
      <c r="C5" s="1">
        <v>666</v>
      </c>
      <c r="D5" s="1">
        <v>61</v>
      </c>
      <c r="E5" s="1">
        <v>381.59999999999974</v>
      </c>
      <c r="H5" s="1" t="s">
        <v>19</v>
      </c>
      <c r="I5">
        <f>Settings!G49</f>
        <v>0</v>
      </c>
      <c r="J5" t="e">
        <f>ROUND(Settings!G56,0)</f>
        <v>#VALUE!</v>
      </c>
      <c r="L5" s="114" t="e">
        <f>(J5/I5)-1</f>
        <v>#VALUE!</v>
      </c>
      <c r="M5" s="1" t="e">
        <f>I5/J5</f>
        <v>#VALUE!</v>
      </c>
    </row>
    <row r="6" spans="1:13" x14ac:dyDescent="0.25">
      <c r="A6" s="83" t="s">
        <v>162</v>
      </c>
      <c r="B6" s="39">
        <v>367422.72999999992</v>
      </c>
      <c r="C6" s="1">
        <v>155</v>
      </c>
      <c r="D6" s="1">
        <v>5</v>
      </c>
      <c r="E6" s="1">
        <v>43.2</v>
      </c>
      <c r="H6" s="1" t="s">
        <v>247</v>
      </c>
      <c r="I6" s="1">
        <f>Settings!G50</f>
        <v>0</v>
      </c>
      <c r="J6" s="1" t="e">
        <f>ROUND(Settings!G57,0)</f>
        <v>#VALUE!</v>
      </c>
      <c r="L6" s="114" t="e">
        <f>(J6/I6)-1</f>
        <v>#VALUE!</v>
      </c>
      <c r="M6" s="1" t="e">
        <f>I6/J6</f>
        <v>#VALUE!</v>
      </c>
    </row>
    <row r="7" spans="1:13" x14ac:dyDescent="0.25">
      <c r="A7" s="83" t="s">
        <v>159</v>
      </c>
      <c r="B7" s="39">
        <v>679686.26</v>
      </c>
      <c r="C7" s="1">
        <v>108</v>
      </c>
      <c r="D7" s="1">
        <v>21</v>
      </c>
      <c r="E7" s="1">
        <v>60</v>
      </c>
      <c r="H7" s="1" t="s">
        <v>248</v>
      </c>
      <c r="I7" s="1">
        <f>Settings!G51</f>
        <v>0</v>
      </c>
      <c r="J7" s="1" t="e">
        <f>ROUND(Settings!G58,0)</f>
        <v>#VALUE!</v>
      </c>
      <c r="L7" s="114" t="e">
        <f>(J7/I7)-1</f>
        <v>#VALUE!</v>
      </c>
      <c r="M7" s="1" t="e">
        <f>I7/J7</f>
        <v>#VALUE!</v>
      </c>
    </row>
    <row r="8" spans="1:13" x14ac:dyDescent="0.25">
      <c r="A8" s="83" t="s">
        <v>154</v>
      </c>
      <c r="B8" s="39">
        <v>1092028.1500000001</v>
      </c>
      <c r="C8" s="1">
        <v>352</v>
      </c>
      <c r="D8" s="1">
        <v>33</v>
      </c>
      <c r="E8" s="1">
        <v>189.6</v>
      </c>
    </row>
    <row r="9" spans="1:13" x14ac:dyDescent="0.25">
      <c r="A9" s="83" t="s">
        <v>156</v>
      </c>
      <c r="B9" s="39">
        <v>1592983.21</v>
      </c>
      <c r="C9" s="1">
        <v>647</v>
      </c>
      <c r="D9" s="1">
        <v>76</v>
      </c>
      <c r="E9" s="1">
        <v>273.59999999999997</v>
      </c>
    </row>
    <row r="10" spans="1:13" x14ac:dyDescent="0.25">
      <c r="A10" s="83" t="s">
        <v>163</v>
      </c>
      <c r="B10" s="39">
        <v>501491.12</v>
      </c>
      <c r="C10" s="1">
        <v>167</v>
      </c>
      <c r="D10" s="1">
        <v>17</v>
      </c>
      <c r="E10" s="1">
        <v>105.60000000000001</v>
      </c>
    </row>
    <row r="11" spans="1:13" x14ac:dyDescent="0.25">
      <c r="A11" s="83" t="s">
        <v>151</v>
      </c>
      <c r="B11" s="39">
        <v>3541446.52</v>
      </c>
      <c r="C11" s="1">
        <v>689</v>
      </c>
      <c r="D11" s="1">
        <v>87</v>
      </c>
      <c r="E11" s="1">
        <v>345.59999999999997</v>
      </c>
    </row>
    <row r="12" spans="1:13" x14ac:dyDescent="0.25">
      <c r="A12" s="83" t="s">
        <v>153</v>
      </c>
      <c r="B12" s="39">
        <v>4096393.8300000005</v>
      </c>
      <c r="C12" s="1">
        <v>1862</v>
      </c>
      <c r="D12" s="1">
        <v>190</v>
      </c>
      <c r="E12" s="1">
        <v>739.19999999999993</v>
      </c>
    </row>
    <row r="13" spans="1:13" x14ac:dyDescent="0.25">
      <c r="A13" s="83" t="s">
        <v>161</v>
      </c>
      <c r="B13" s="39">
        <v>487371.90999999992</v>
      </c>
      <c r="C13" s="1">
        <v>272</v>
      </c>
      <c r="D13" s="1">
        <v>27</v>
      </c>
      <c r="E13" s="1">
        <v>81.600000000000009</v>
      </c>
    </row>
    <row r="14" spans="1:13" x14ac:dyDescent="0.25">
      <c r="A14" s="83" t="s">
        <v>164</v>
      </c>
      <c r="B14" s="39">
        <v>392341.7</v>
      </c>
      <c r="C14" s="1">
        <v>137</v>
      </c>
      <c r="D14" s="1">
        <v>11</v>
      </c>
      <c r="E14" s="1">
        <v>33.6</v>
      </c>
    </row>
    <row r="15" spans="1:13" x14ac:dyDescent="0.25">
      <c r="A15" s="83" t="s">
        <v>160</v>
      </c>
      <c r="B15" s="39">
        <v>1489121.8599999999</v>
      </c>
      <c r="C15" s="1">
        <v>462</v>
      </c>
      <c r="D15" s="1">
        <v>44</v>
      </c>
      <c r="E15" s="1">
        <v>225.6</v>
      </c>
    </row>
    <row r="16" spans="1:13" x14ac:dyDescent="0.25">
      <c r="A16" s="83" t="s">
        <v>165</v>
      </c>
      <c r="B16" s="39">
        <v>1023853.2899999999</v>
      </c>
      <c r="C16" s="1">
        <v>275</v>
      </c>
      <c r="D16" s="1">
        <v>22</v>
      </c>
      <c r="E16" s="1">
        <v>129.6</v>
      </c>
    </row>
    <row r="17" spans="1:5" x14ac:dyDescent="0.25">
      <c r="A17" s="83" t="s">
        <v>166</v>
      </c>
      <c r="B17" s="39">
        <v>520132.92</v>
      </c>
      <c r="C17" s="1">
        <v>196</v>
      </c>
      <c r="D17" s="1">
        <v>17</v>
      </c>
      <c r="E17" s="1">
        <v>100.80000000000001</v>
      </c>
    </row>
    <row r="18" spans="1:5" x14ac:dyDescent="0.25">
      <c r="A18" s="83" t="s">
        <v>158</v>
      </c>
      <c r="B18" s="39">
        <v>546655.87</v>
      </c>
      <c r="C18" s="1">
        <v>208</v>
      </c>
      <c r="D18" s="1">
        <v>27</v>
      </c>
      <c r="E18" s="1">
        <v>93.600000000000023</v>
      </c>
    </row>
  </sheetData>
  <sheetProtection algorithmName="SHA-512" hashValue="UbIphlCFFRZcX4EWfZIhhv14OKpI6EUD2boDiIw0njWEwb/ETbgRgJQeXdD3E8RIMIH3HtCxV0aHUiobMg+13Q==" saltValue="uQ2CggrhSWqgycYjN5MPzw==" spinCount="100000"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ReadMe</vt:lpstr>
      <vt:lpstr>Methodology</vt:lpstr>
      <vt:lpstr>Settings</vt:lpstr>
      <vt:lpstr>Group Projections</vt:lpstr>
      <vt:lpstr>Institutional Projections</vt:lpstr>
      <vt:lpstr>data2</vt:lpstr>
      <vt:lpstr>'Group Projections'!Druckbereich</vt:lpstr>
      <vt:lpstr>'Institutional Projections'!Druckbereich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Ádám Dér</dc:creator>
  <cp:lastModifiedBy>Ádám Dér</cp:lastModifiedBy>
  <cp:revision>6</cp:revision>
  <cp:lastPrinted>2021-07-22T15:53:50Z</cp:lastPrinted>
  <dcterms:created xsi:type="dcterms:W3CDTF">2021-04-18T16:57:43Z</dcterms:created>
  <dcterms:modified xsi:type="dcterms:W3CDTF">2021-07-27T14:47:25Z</dcterms:modified>
</cp:coreProperties>
</file>